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240" windowWidth="15600" windowHeight="6795" activeTab="2"/>
  </bookViews>
  <sheets>
    <sheet name="Bieu 2" sheetId="2" r:id="rId1"/>
    <sheet name="Bieu 3" sheetId="20" r:id="rId2"/>
    <sheet name="Bieu 4" sheetId="3" r:id="rId3"/>
  </sheets>
  <externalReferences>
    <externalReference r:id="rId4"/>
    <externalReference r:id="rId5"/>
  </externalReferences>
  <definedNames>
    <definedName name="_xlnm.Print_Titles" localSheetId="0">'Bieu 2'!$8:$8</definedName>
    <definedName name="_xlnm.Print_Titles" localSheetId="1">'Bieu 3'!$7:$8</definedName>
    <definedName name="_xlnm.Print_Titles" localSheetId="2">'Bieu 4'!$8:$9</definedName>
  </definedNames>
  <calcPr calcId="144525"/>
</workbook>
</file>

<file path=xl/calcChain.xml><?xml version="1.0" encoding="utf-8"?>
<calcChain xmlns="http://schemas.openxmlformats.org/spreadsheetml/2006/main">
  <c r="A1" i="20" l="1"/>
  <c r="E162" i="3"/>
  <c r="E159" i="3"/>
  <c r="D160" i="3"/>
  <c r="D159" i="3"/>
  <c r="F163" i="3" l="1"/>
  <c r="F162" i="3"/>
  <c r="C32" i="3" l="1"/>
  <c r="C30" i="3"/>
  <c r="D30" i="3" s="1"/>
  <c r="C29" i="3"/>
  <c r="C28" i="3" s="1"/>
  <c r="C27" i="3"/>
  <c r="C26" i="3"/>
  <c r="D26" i="3" s="1"/>
  <c r="C25" i="3"/>
  <c r="D25" i="3" s="1"/>
  <c r="C24" i="3"/>
  <c r="D24" i="3" s="1"/>
  <c r="C23" i="3"/>
  <c r="C21" i="3"/>
  <c r="D21" i="3" s="1"/>
  <c r="C20" i="3"/>
  <c r="D20" i="3" s="1"/>
  <c r="D32" i="3"/>
  <c r="D31" i="3"/>
  <c r="D27" i="3"/>
  <c r="D23" i="3"/>
  <c r="C128" i="3"/>
  <c r="C125" i="3"/>
  <c r="D127" i="3"/>
  <c r="D126" i="3"/>
  <c r="D125" i="3" s="1"/>
  <c r="C22" i="3" l="1"/>
  <c r="D29" i="3"/>
  <c r="D28" i="3" s="1"/>
  <c r="C19" i="3"/>
  <c r="D19" i="3"/>
  <c r="D22" i="3"/>
  <c r="M161" i="3"/>
  <c r="E158" i="3" l="1"/>
  <c r="D158" i="3"/>
  <c r="A2" i="3"/>
  <c r="C33" i="3"/>
  <c r="D34" i="3"/>
  <c r="D35" i="3"/>
  <c r="D36" i="3"/>
  <c r="D37" i="3"/>
  <c r="C38" i="3"/>
  <c r="D39" i="3"/>
  <c r="D38" i="3" s="1"/>
  <c r="C40" i="3"/>
  <c r="D41" i="3"/>
  <c r="D42" i="3"/>
  <c r="D43" i="3"/>
  <c r="D44" i="3"/>
  <c r="C45" i="3"/>
  <c r="D46" i="3"/>
  <c r="D47" i="3"/>
  <c r="D48" i="3"/>
  <c r="D49" i="3"/>
  <c r="D50" i="3"/>
  <c r="D51" i="3"/>
  <c r="D52" i="3"/>
  <c r="D53" i="3"/>
  <c r="D54" i="3"/>
  <c r="D55" i="3"/>
  <c r="C56" i="3"/>
  <c r="D57" i="3"/>
  <c r="D58" i="3"/>
  <c r="D59" i="3"/>
  <c r="D60" i="3"/>
  <c r="D61" i="3"/>
  <c r="D62" i="3"/>
  <c r="D63" i="3"/>
  <c r="C67" i="3"/>
  <c r="D68" i="3"/>
  <c r="D67" i="3" s="1"/>
  <c r="D69" i="3"/>
  <c r="C70" i="3"/>
  <c r="D71" i="3"/>
  <c r="D72" i="3"/>
  <c r="D73" i="3"/>
  <c r="D74" i="3"/>
  <c r="D75" i="3"/>
  <c r="C76" i="3"/>
  <c r="D77" i="3"/>
  <c r="D78" i="3"/>
  <c r="D79" i="3"/>
  <c r="D80" i="3"/>
  <c r="C82" i="3"/>
  <c r="D83" i="3"/>
  <c r="D82" i="3" s="1"/>
  <c r="D84" i="3"/>
  <c r="C85" i="3"/>
  <c r="D86" i="3"/>
  <c r="D87" i="3"/>
  <c r="D85" i="3" s="1"/>
  <c r="C88" i="3"/>
  <c r="D89" i="3"/>
  <c r="D90" i="3"/>
  <c r="D91" i="3"/>
  <c r="C92" i="3"/>
  <c r="D93" i="3"/>
  <c r="D94" i="3"/>
  <c r="D95" i="3"/>
  <c r="D92" i="3" s="1"/>
  <c r="C96" i="3"/>
  <c r="D97" i="3"/>
  <c r="D98" i="3"/>
  <c r="D99" i="3"/>
  <c r="D100" i="3"/>
  <c r="D101" i="3"/>
  <c r="C102" i="3"/>
  <c r="D103" i="3"/>
  <c r="D104" i="3"/>
  <c r="D105" i="3"/>
  <c r="D106" i="3"/>
  <c r="D107" i="3"/>
  <c r="C108" i="3"/>
  <c r="D109" i="3"/>
  <c r="D110" i="3"/>
  <c r="D111" i="3"/>
  <c r="D112" i="3"/>
  <c r="C113" i="3"/>
  <c r="D114" i="3"/>
  <c r="D115" i="3"/>
  <c r="D116" i="3"/>
  <c r="D117" i="3"/>
  <c r="D118" i="3"/>
  <c r="D119" i="3"/>
  <c r="C120" i="3"/>
  <c r="D121" i="3"/>
  <c r="D122" i="3"/>
  <c r="D123" i="3"/>
  <c r="D124" i="3"/>
  <c r="D129" i="3"/>
  <c r="D130" i="3"/>
  <c r="D131" i="3"/>
  <c r="D133" i="3"/>
  <c r="C136" i="3"/>
  <c r="D137" i="3"/>
  <c r="D136" i="3" s="1"/>
  <c r="C138" i="3"/>
  <c r="D139" i="3"/>
  <c r="D138" i="3" s="1"/>
  <c r="D140" i="3"/>
  <c r="C142" i="3"/>
  <c r="D142" i="3" s="1"/>
  <c r="D143" i="3"/>
  <c r="C144" i="3"/>
  <c r="D145" i="3"/>
  <c r="D144" i="3" s="1"/>
  <c r="C146" i="3"/>
  <c r="D147" i="3"/>
  <c r="D146" i="3" s="1"/>
  <c r="C148" i="3"/>
  <c r="D149" i="3"/>
  <c r="D148" i="3" s="1"/>
  <c r="D150" i="3"/>
  <c r="D151" i="3"/>
  <c r="D152" i="3"/>
  <c r="C153" i="3"/>
  <c r="D154" i="3"/>
  <c r="D153" i="3" s="1"/>
  <c r="C158" i="3"/>
  <c r="F160" i="3"/>
  <c r="C164" i="3"/>
  <c r="E164" i="3"/>
  <c r="F165" i="3"/>
  <c r="F166" i="3"/>
  <c r="F167" i="3"/>
  <c r="F168" i="3"/>
  <c r="F169" i="3"/>
  <c r="F170" i="3"/>
  <c r="D141" i="3" l="1"/>
  <c r="C81" i="3"/>
  <c r="D40" i="3"/>
  <c r="C171" i="3"/>
  <c r="F164" i="3"/>
  <c r="C18" i="3"/>
  <c r="C14" i="3" s="1"/>
  <c r="D12" i="20" s="1"/>
  <c r="D33" i="3"/>
  <c r="D56" i="3"/>
  <c r="D45" i="3"/>
  <c r="D135" i="3"/>
  <c r="D134" i="3" s="1"/>
  <c r="C135" i="3"/>
  <c r="D113" i="3"/>
  <c r="D108" i="3"/>
  <c r="D102" i="3"/>
  <c r="D96" i="3"/>
  <c r="D88" i="3"/>
  <c r="D76" i="3"/>
  <c r="D70" i="3"/>
  <c r="C66" i="3"/>
  <c r="E171" i="3"/>
  <c r="D120" i="3"/>
  <c r="D164" i="3"/>
  <c r="D171" i="3" s="1"/>
  <c r="F161" i="3"/>
  <c r="C141" i="3"/>
  <c r="D132" i="3"/>
  <c r="D128" i="3" s="1"/>
  <c r="F159" i="3"/>
  <c r="C65" i="3" l="1"/>
  <c r="D81" i="3"/>
  <c r="F158" i="3"/>
  <c r="F171" i="3" s="1"/>
  <c r="D18" i="3"/>
  <c r="C12" i="3"/>
  <c r="C11" i="3" s="1"/>
  <c r="C10" i="3" s="1"/>
  <c r="D14" i="3"/>
  <c r="D12" i="3" s="1"/>
  <c r="D11" i="3" s="1"/>
  <c r="D10" i="3" s="1"/>
  <c r="C134" i="3"/>
  <c r="D66" i="3"/>
  <c r="D65" i="3" s="1"/>
  <c r="D26" i="20" s="1"/>
  <c r="M183" i="3" l="1"/>
  <c r="M182" i="3" l="1"/>
  <c r="M181" i="3"/>
  <c r="M180" i="3"/>
  <c r="M177" i="3" s="1"/>
  <c r="M179" i="3"/>
  <c r="M178" i="3"/>
  <c r="L177" i="3"/>
  <c r="K177" i="3"/>
  <c r="J177" i="3"/>
  <c r="M176" i="3"/>
  <c r="M174" i="3"/>
  <c r="M171" i="3" s="1"/>
  <c r="M173" i="3"/>
  <c r="M172" i="3"/>
  <c r="L171" i="3"/>
  <c r="L184" i="3" s="1"/>
  <c r="K171" i="3"/>
  <c r="K184" i="3" s="1"/>
  <c r="J171" i="3"/>
  <c r="J184" i="3" s="1"/>
  <c r="M168" i="3"/>
  <c r="M167" i="3"/>
  <c r="M166" i="3"/>
  <c r="M165" i="3"/>
  <c r="M164" i="3"/>
  <c r="M163" i="3"/>
  <c r="M162" i="3" s="1"/>
  <c r="L162" i="3"/>
  <c r="K162" i="3"/>
  <c r="J162" i="3"/>
  <c r="M159" i="3"/>
  <c r="M158" i="3"/>
  <c r="M157" i="3"/>
  <c r="K156" i="3"/>
  <c r="K169" i="3" s="1"/>
  <c r="J156" i="3"/>
  <c r="J130" i="20"/>
  <c r="J128" i="20" s="1"/>
  <c r="J125" i="20"/>
  <c r="C125" i="20"/>
  <c r="J124" i="20"/>
  <c r="C123" i="20" s="1"/>
  <c r="J122" i="20"/>
  <c r="J121" i="20" s="1"/>
  <c r="C121" i="20"/>
  <c r="C120" i="20"/>
  <c r="C118" i="20"/>
  <c r="C117" i="20" s="1"/>
  <c r="C112" i="20" s="1"/>
  <c r="J117" i="20"/>
  <c r="J116" i="20"/>
  <c r="J114" i="20" s="1"/>
  <c r="C116" i="20"/>
  <c r="C115" i="20"/>
  <c r="C114" i="20"/>
  <c r="J113" i="20"/>
  <c r="C111" i="20" s="1"/>
  <c r="C113" i="20"/>
  <c r="J112" i="20"/>
  <c r="J109" i="20"/>
  <c r="C109" i="20" s="1"/>
  <c r="J108" i="20"/>
  <c r="C107" i="20"/>
  <c r="C106" i="20"/>
  <c r="J105" i="20"/>
  <c r="C108" i="20" s="1"/>
  <c r="C105" i="20"/>
  <c r="J104" i="20"/>
  <c r="C104" i="20"/>
  <c r="J103" i="20"/>
  <c r="C103" i="20"/>
  <c r="C102" i="20"/>
  <c r="C101" i="20"/>
  <c r="J100" i="20"/>
  <c r="C99" i="20"/>
  <c r="J98" i="20"/>
  <c r="C93" i="20" s="1"/>
  <c r="C98" i="20"/>
  <c r="J96" i="20"/>
  <c r="J95" i="20"/>
  <c r="J94" i="20"/>
  <c r="C91" i="20" s="1"/>
  <c r="C89" i="20" s="1"/>
  <c r="C92" i="20"/>
  <c r="C90" i="20"/>
  <c r="J87" i="20"/>
  <c r="J85" i="20"/>
  <c r="J84" i="20"/>
  <c r="C87" i="20" s="1"/>
  <c r="J83" i="20"/>
  <c r="J82" i="20"/>
  <c r="J81" i="20"/>
  <c r="C85" i="20" s="1"/>
  <c r="J78" i="20"/>
  <c r="C77" i="20"/>
  <c r="J76" i="20"/>
  <c r="C74" i="20" s="1"/>
  <c r="J75" i="20"/>
  <c r="C75" i="20" s="1"/>
  <c r="J74" i="20"/>
  <c r="C76" i="20" s="1"/>
  <c r="C73" i="20"/>
  <c r="J71" i="20"/>
  <c r="J70" i="20"/>
  <c r="C69" i="20" s="1"/>
  <c r="C70" i="20"/>
  <c r="J69" i="20"/>
  <c r="C68" i="20" s="1"/>
  <c r="J68" i="20"/>
  <c r="C67" i="20" s="1"/>
  <c r="J67" i="20"/>
  <c r="J66" i="20"/>
  <c r="J65" i="20"/>
  <c r="C65" i="20"/>
  <c r="C64" i="20"/>
  <c r="C61" i="20" s="1"/>
  <c r="J61" i="20"/>
  <c r="C60" i="20" s="1"/>
  <c r="J60" i="20"/>
  <c r="C59" i="20" s="1"/>
  <c r="J59" i="20"/>
  <c r="C58" i="20" s="1"/>
  <c r="J58" i="20"/>
  <c r="C57" i="20" s="1"/>
  <c r="J56" i="20"/>
  <c r="J55" i="20"/>
  <c r="J54" i="20"/>
  <c r="J53" i="20"/>
  <c r="J52" i="20"/>
  <c r="J51" i="20"/>
  <c r="J50" i="20"/>
  <c r="J49" i="20"/>
  <c r="J48" i="20"/>
  <c r="C48" i="20"/>
  <c r="J47" i="20"/>
  <c r="J46" i="20"/>
  <c r="C52" i="20" s="1"/>
  <c r="C46" i="20"/>
  <c r="J45" i="20"/>
  <c r="C51" i="20" s="1"/>
  <c r="C45" i="20"/>
  <c r="J44" i="20"/>
  <c r="C50" i="20" s="1"/>
  <c r="C49" i="20" s="1"/>
  <c r="J38" i="20"/>
  <c r="C33" i="20"/>
  <c r="C31" i="20"/>
  <c r="J13" i="20"/>
  <c r="C38" i="20" s="1"/>
  <c r="J12" i="20"/>
  <c r="C37" i="20" s="1"/>
  <c r="C12" i="20"/>
  <c r="J11" i="20"/>
  <c r="J10" i="20"/>
  <c r="D10" i="20"/>
  <c r="D9" i="20" s="1"/>
  <c r="J9" i="20"/>
  <c r="C35" i="20" s="1"/>
  <c r="J8" i="20"/>
  <c r="C34" i="20" s="1"/>
  <c r="J7" i="20"/>
  <c r="J6" i="20" s="1"/>
  <c r="J4" i="20"/>
  <c r="C30" i="20" s="1"/>
  <c r="J3" i="20"/>
  <c r="J15" i="20" s="1"/>
  <c r="A2" i="20"/>
  <c r="A1" i="3"/>
  <c r="C53" i="2"/>
  <c r="C44" i="2"/>
  <c r="C43" i="2"/>
  <c r="C40" i="2"/>
  <c r="C35" i="2"/>
  <c r="C30" i="2"/>
  <c r="C29" i="2" s="1"/>
  <c r="C28" i="2" s="1"/>
  <c r="C12" i="2"/>
  <c r="C20" i="2" s="1"/>
  <c r="C19" i="2" s="1"/>
  <c r="C10" i="2"/>
  <c r="C9" i="2" s="1"/>
  <c r="C36" i="20" l="1"/>
  <c r="J43" i="20"/>
  <c r="C54" i="20"/>
  <c r="C53" i="20" s="1"/>
  <c r="C44" i="20" s="1"/>
  <c r="J62" i="20"/>
  <c r="J102" i="20"/>
  <c r="J123" i="20"/>
  <c r="C55" i="20"/>
  <c r="J57" i="20"/>
  <c r="J89" i="20"/>
  <c r="J88" i="20" s="1"/>
  <c r="C126" i="20"/>
  <c r="C124" i="20" s="1"/>
  <c r="C100" i="20"/>
  <c r="C97" i="20" s="1"/>
  <c r="C96" i="20" s="1"/>
  <c r="C66" i="20"/>
  <c r="C88" i="20"/>
  <c r="C119" i="20"/>
  <c r="M184" i="3"/>
  <c r="J169" i="3"/>
  <c r="E12" i="20"/>
  <c r="E10" i="20" s="1"/>
  <c r="E9" i="20" s="1"/>
  <c r="C10" i="20"/>
  <c r="C9" i="20" s="1"/>
  <c r="L156" i="3"/>
  <c r="L169" i="3" s="1"/>
  <c r="J17" i="20"/>
  <c r="C40" i="20"/>
  <c r="J16" i="20"/>
  <c r="C41" i="20" s="1"/>
  <c r="C72" i="20"/>
  <c r="C32" i="20"/>
  <c r="C56" i="20"/>
  <c r="C84" i="20"/>
  <c r="C29" i="20"/>
  <c r="C28" i="20" s="1"/>
  <c r="J72" i="20"/>
  <c r="J80" i="20"/>
  <c r="J99" i="20" l="1"/>
  <c r="J131" i="20" s="1"/>
  <c r="J42" i="20"/>
  <c r="C42" i="20"/>
  <c r="J18" i="20"/>
  <c r="C43" i="20" l="1"/>
  <c r="C39" i="20" s="1"/>
  <c r="C27" i="20" s="1"/>
  <c r="C26" i="20" s="1"/>
  <c r="E26" i="20" s="1"/>
  <c r="J14" i="20"/>
  <c r="J2" i="20" s="1"/>
  <c r="J1" i="20" s="1"/>
  <c r="L10" i="20" l="1"/>
  <c r="D96" i="20"/>
  <c r="E96" i="20" s="1"/>
  <c r="M156" i="3" l="1"/>
  <c r="M169" i="3" s="1"/>
</calcChain>
</file>

<file path=xl/sharedStrings.xml><?xml version="1.0" encoding="utf-8"?>
<sst xmlns="http://schemas.openxmlformats.org/spreadsheetml/2006/main" count="574" uniqueCount="352">
  <si>
    <t>A</t>
  </si>
  <si>
    <t>I</t>
  </si>
  <si>
    <t>Tổng số thu</t>
  </si>
  <si>
    <t>Thu hoạt động SX, cung ứng dịch vụ</t>
  </si>
  <si>
    <t xml:space="preserve">Thu sự nghiệp khác </t>
  </si>
  <si>
    <t>II</t>
  </si>
  <si>
    <t>B</t>
  </si>
  <si>
    <t>(Dùng cho đơn vị dự toán cấp trên và đơn vị</t>
  </si>
  <si>
    <t>Quyết toán thu</t>
  </si>
  <si>
    <t>Nội dung</t>
  </si>
  <si>
    <t xml:space="preserve">Số 
TT </t>
  </si>
  <si>
    <t>Chi quản lý hành chính</t>
  </si>
  <si>
    <t>Dự toán được giao</t>
  </si>
  <si>
    <t>Số liệu quyết toán
 được duyệt</t>
  </si>
  <si>
    <t>Số liệu
 báo cáo
 quyết toán</t>
  </si>
  <si>
    <t>Quyết toán chi ngân sách nhà nước</t>
  </si>
  <si>
    <t>Trong đó</t>
  </si>
  <si>
    <t>Mua sắm, 
sửa chữa</t>
  </si>
  <si>
    <t>Trích lập các quỹ</t>
  </si>
  <si>
    <t>Số 
TT</t>
  </si>
  <si>
    <t xml:space="preserve"> dự toán sử dụng ngân sách nhà nước)</t>
  </si>
  <si>
    <t>So sánh (%)</t>
  </si>
  <si>
    <t>Dự toán</t>
  </si>
  <si>
    <t>Cùng kỳ 
năm trước</t>
  </si>
  <si>
    <t>(Dùng cho đơn vị sử dụng ngân sách)</t>
  </si>
  <si>
    <t>Dự toán năm</t>
  </si>
  <si>
    <t>Tổng số thu, chi, nộp ngân sách phí, lệ phí</t>
  </si>
  <si>
    <t xml:space="preserve"> Số thu phí, lệ phí</t>
  </si>
  <si>
    <t>1.1</t>
  </si>
  <si>
    <t>Lệ phí</t>
  </si>
  <si>
    <t>1.2</t>
  </si>
  <si>
    <t>Phí</t>
  </si>
  <si>
    <t>Chi từ nguồn thu phí được để lại</t>
  </si>
  <si>
    <t>2.1</t>
  </si>
  <si>
    <t>Chi sự nghiệp………………….</t>
  </si>
  <si>
    <t>a</t>
  </si>
  <si>
    <t>b</t>
  </si>
  <si>
    <t>Kinh phí nhiệm vụ không thường xuyên</t>
  </si>
  <si>
    <t>2.2</t>
  </si>
  <si>
    <t xml:space="preserve"> Kinh phí thực hiện chế độ tự chủ </t>
  </si>
  <si>
    <t xml:space="preserve">Kinh phí không thực hiện chế độ tự chủ </t>
  </si>
  <si>
    <t xml:space="preserve"> Số phí, lệ phí nộp NSNN</t>
  </si>
  <si>
    <t>3.1</t>
  </si>
  <si>
    <t>3.2</t>
  </si>
  <si>
    <t>Dự toán chi ngân sách nhà nước</t>
  </si>
  <si>
    <t>Chi từ nguồn thu được để lại</t>
  </si>
  <si>
    <t>Thủ trưởng đơn vị</t>
  </si>
  <si>
    <t>Quỹ 
lương</t>
  </si>
  <si>
    <t xml:space="preserve"> Chương: 622</t>
  </si>
  <si>
    <t>(Kèm theo Quyết định số  23/QĐ- PGDĐT ngày 15/01/2018 của PGDĐT )</t>
  </si>
  <si>
    <t xml:space="preserve"> Biểu số 2 - Ban hành kèm theo Thông tư số 61/2017/TT-BTC ngày 15 tháng 6 năm 2017
 của Bộ Tài chính</t>
  </si>
  <si>
    <t>(Kèm theo Quyết định số 23 /QĐ-PGDĐ ngày 15/01/2018 của PGDĐT thị xã Bến Cát )</t>
  </si>
  <si>
    <t>Đvt: đồng</t>
  </si>
  <si>
    <t>Học phí: 60.000đ/hs/tháng</t>
  </si>
  <si>
    <t>Kinh phí nhiệm vụ thường xuyên</t>
  </si>
  <si>
    <t xml:space="preserve">Kinh phí thực hiện chế độ tự chủ </t>
  </si>
  <si>
    <t>Chi hoạt động chuyên môn</t>
  </si>
  <si>
    <t>Chi mua sắm, sửa chữa</t>
  </si>
  <si>
    <t>Chi khác</t>
  </si>
  <si>
    <t>Chi thanh toán cá nhân</t>
  </si>
  <si>
    <t>Chi sự nghiệp giáo dục</t>
  </si>
  <si>
    <t>10% tiết kiệm bổ sung CCTL</t>
  </si>
  <si>
    <t>Chi hoạt động TX, sửa chữa TX</t>
  </si>
  <si>
    <t>Chi nghiệp vụ chuyên môn</t>
  </si>
  <si>
    <t>III</t>
  </si>
  <si>
    <t xml:space="preserve">Dự toán thu - chi quỹ ngoài ngân sách </t>
  </si>
  <si>
    <t>Thư viện</t>
  </si>
  <si>
    <t>Nhân đạo</t>
  </si>
  <si>
    <t>Chữ thập đỏ</t>
  </si>
  <si>
    <t>Nước uống học sinh</t>
  </si>
  <si>
    <t>Hội PHHS</t>
  </si>
  <si>
    <t>Hội khuyến học</t>
  </si>
  <si>
    <t>BH tai nạn</t>
  </si>
  <si>
    <t>BHYT</t>
  </si>
  <si>
    <t>Phiếu liên lạc</t>
  </si>
  <si>
    <t>Phù hiệu</t>
  </si>
  <si>
    <t>Thẻ học sinh</t>
  </si>
  <si>
    <t>Học bạ, túi hồ sơ (K6)</t>
  </si>
  <si>
    <t>IV</t>
  </si>
  <si>
    <t>Dự toán thu - chi quỹ ngoài ngân sách (tiền gửi)</t>
  </si>
  <si>
    <t>10,8% CSSKBĐ</t>
  </si>
  <si>
    <t>Qũy phát triển sự nghiệp</t>
  </si>
  <si>
    <t>Qũy phúc lợi</t>
  </si>
  <si>
    <t>Qũy khen thưởng</t>
  </si>
  <si>
    <t>Người lập biểu                                                                               Thủ trưởng đơn vị</t>
  </si>
  <si>
    <t>Chi mua sắm, SC lớn (029)</t>
  </si>
  <si>
    <t xml:space="preserve"> Biểu số 3 - Ban hành kèm theo Thông tư số 61/2017/TT-BTC ngày 15 tháng 6 năm 2017 
của Bộ Tài chính</t>
  </si>
  <si>
    <t>ĐV tính: đồng</t>
  </si>
  <si>
    <t>Thanh toán cá nhân</t>
  </si>
  <si>
    <t>Tiền lương</t>
  </si>
  <si>
    <t>Lương ngạch bậc</t>
  </si>
  <si>
    <t>Lương hợp đồng</t>
  </si>
  <si>
    <t>Nâng bậc, tăng lương</t>
  </si>
  <si>
    <t>Phụ cấp lương</t>
  </si>
  <si>
    <t>Chức vụ</t>
  </si>
  <si>
    <t>PC độc hại</t>
  </si>
  <si>
    <t>PC ưu đãi</t>
  </si>
  <si>
    <t>PC trách nhiệm</t>
  </si>
  <si>
    <t>PC thâm niên</t>
  </si>
  <si>
    <t>PC vượt khung : 0.2988</t>
  </si>
  <si>
    <t>Các khoản đóng góp</t>
  </si>
  <si>
    <t>BHXH : 17,5%</t>
  </si>
  <si>
    <t>BHYT : 3%</t>
  </si>
  <si>
    <t>KPCD : 2%</t>
  </si>
  <si>
    <t>BHTN : 1%</t>
  </si>
  <si>
    <t>Hoạt động thường xuyên</t>
  </si>
  <si>
    <t xml:space="preserve">Hỗ trợ GV thể dục </t>
  </si>
  <si>
    <t>Dịch vụ công cộng</t>
  </si>
  <si>
    <t>Tiền điện</t>
  </si>
  <si>
    <t>Vệ sinh môi trường</t>
  </si>
  <si>
    <t>Vật tư văn phòng</t>
  </si>
  <si>
    <t>Văn phòng phẩm</t>
  </si>
  <si>
    <t>Vật tư văn phòng khác</t>
  </si>
  <si>
    <t>Thông tin liên lạc</t>
  </si>
  <si>
    <t>Điện thoại</t>
  </si>
  <si>
    <t xml:space="preserve">Internet </t>
  </si>
  <si>
    <t>Khoán điện thoại</t>
  </si>
  <si>
    <t>Công tác phí</t>
  </si>
  <si>
    <t>Tàu xe</t>
  </si>
  <si>
    <t>Phụ cấp CTP</t>
  </si>
  <si>
    <t>Lưu trú</t>
  </si>
  <si>
    <t>Khoán CTP</t>
  </si>
  <si>
    <t>Khác</t>
  </si>
  <si>
    <t>Thuê mướn</t>
  </si>
  <si>
    <t>Vận chuyển</t>
  </si>
  <si>
    <t>Thuê nhân viên dọn vệ sinh</t>
  </si>
  <si>
    <t>Đào tạo</t>
  </si>
  <si>
    <t>Sửa chữa thường xuyên</t>
  </si>
  <si>
    <t>Điều hòa nhiệt độ</t>
  </si>
  <si>
    <t>Bảo trì PCCC</t>
  </si>
  <si>
    <t>Thiết bị tin học</t>
  </si>
  <si>
    <t>SC máy photocopy</t>
  </si>
  <si>
    <t>Thiết bị điện, nước</t>
  </si>
  <si>
    <t>Tu sửa CSVC khác</t>
  </si>
  <si>
    <t>Chi phí NVCM</t>
  </si>
  <si>
    <t>Vật tư CM</t>
  </si>
  <si>
    <t>Tài liệu CM</t>
  </si>
  <si>
    <t>Trang phục TDTT</t>
  </si>
  <si>
    <t>Chi phí NVCM khác</t>
  </si>
  <si>
    <t>Khen thưởng</t>
  </si>
  <si>
    <t>Tiếp khách</t>
  </si>
  <si>
    <t xml:space="preserve">Chỉ thị 40: THTTHSTC  </t>
  </si>
  <si>
    <t>Chi khác</t>
  </si>
  <si>
    <t>PC bí thư chi bộ</t>
  </si>
  <si>
    <t>Thừa giờ</t>
  </si>
  <si>
    <t>Chi hỗ trợ kinh phí học tập (15hs)</t>
  </si>
  <si>
    <t>Hỗ trợ 30% KĐL (11,199*1300000*12) - QĐ số 26/2011/QĐ-UBND</t>
  </si>
  <si>
    <t>Chi hỗ trợ ngày 20 /11 (78 người)</t>
  </si>
  <si>
    <t>Chi hỗ trợ NVYT, (0.3) -(QĐ 74)</t>
  </si>
  <si>
    <t>Chi hỗ trợ TTHC</t>
  </si>
  <si>
    <t>Chi hỗ trợ Thư viện</t>
  </si>
  <si>
    <t>Trợ cấp khoán trọ - (QĐ 27)</t>
  </si>
  <si>
    <t>Công cụ dụng cụ</t>
  </si>
  <si>
    <t>Bàn ghế học sinh</t>
  </si>
  <si>
    <t>Chi phí thuê mướn đào tạo</t>
  </si>
  <si>
    <t xml:space="preserve">Đào tạo tập huấn chuyên môn </t>
  </si>
  <si>
    <t>NVCM</t>
  </si>
  <si>
    <t>Trang phục NVBV</t>
  </si>
  <si>
    <t>Bảo hiểm cháy nổ</t>
  </si>
  <si>
    <t>Chi tiền Tết : 1.500.000 đ/người (78)</t>
  </si>
  <si>
    <t>Chi khác (Dự phòng HĐ)</t>
  </si>
  <si>
    <t>Cấp bù Học phí (bs nguồn 12)</t>
  </si>
  <si>
    <t>Máy chiếu, đèn chiếu (4 bộ)</t>
  </si>
  <si>
    <t>Người lập biểu</t>
  </si>
  <si>
    <t xml:space="preserve"> Biểu số 4 - Ban hành kèm theo Thông tư số 61/2017/TT-BTC ngày 15 tháng 6 năm 2017 
của Bộ Tài chính</t>
  </si>
  <si>
    <t>Lương biên chế</t>
  </si>
  <si>
    <t>Chi hỗ trợ kinh phí học tập</t>
  </si>
  <si>
    <t xml:space="preserve">Trợ cấp </t>
  </si>
  <si>
    <t xml:space="preserve">Quỹ ngoài ngân sách </t>
  </si>
  <si>
    <t xml:space="preserve">Cấp bù Học phí </t>
  </si>
  <si>
    <t>Học phí</t>
  </si>
  <si>
    <t>HĐCM</t>
  </si>
  <si>
    <t xml:space="preserve">Văn phòng phẩm </t>
  </si>
  <si>
    <t xml:space="preserve">Thiết bị mạng TP-LINK </t>
  </si>
  <si>
    <t>Sửa chữa</t>
  </si>
  <si>
    <t>Thê xe chở HS đi cắm trại</t>
  </si>
  <si>
    <t>Thê xe chở HS đi thi</t>
  </si>
  <si>
    <t>Thê xe chở vật tư</t>
  </si>
  <si>
    <t>Nguồn vi tính</t>
  </si>
  <si>
    <t>Thiết bị tin học</t>
  </si>
  <si>
    <t>Sửa máy lạnh</t>
  </si>
  <si>
    <t>Sửa chữa CSVC (sơn nước cầu thang, 
lang can…)</t>
  </si>
  <si>
    <t>Khác</t>
  </si>
  <si>
    <t>Tăng thu nhập</t>
  </si>
  <si>
    <t xml:space="preserve">          ĐV tính: đồng</t>
  </si>
  <si>
    <t>Trường THCS Mỹ Phước</t>
  </si>
  <si>
    <t>I / NGUỒN  0113</t>
  </si>
  <si>
    <t>Chi con người</t>
  </si>
  <si>
    <t>Lương biên chế: (90,31*1,300,000*12 th)</t>
  </si>
  <si>
    <t>Hợp đồng:( 57,07*1,300,000* 12 th )</t>
  </si>
  <si>
    <t>* Dự trù nâng bậc, tăng lương 3%</t>
  </si>
  <si>
    <t>Phụ cấp chức vụ: (2,95 )</t>
  </si>
  <si>
    <t>Phụ cấp độc hại: (0.4)</t>
  </si>
  <si>
    <t>Phụ cấp ưu đãi: (32.207 )</t>
  </si>
  <si>
    <t>Phụ cấp trách nhiệm: (0.1)</t>
  </si>
  <si>
    <t>PC hướng dẫn tập sự (1GV)</t>
  </si>
  <si>
    <t>PC thâm niên (18.654)</t>
  </si>
  <si>
    <t>PC Vượt khung (0,3984)</t>
  </si>
  <si>
    <t xml:space="preserve">18 % BHXH </t>
  </si>
  <si>
    <t xml:space="preserve">3% BHYT </t>
  </si>
  <si>
    <t xml:space="preserve">2% KPCĐ </t>
  </si>
  <si>
    <t>1% BHTN</t>
  </si>
  <si>
    <t>Các khoản thanh toán khác cho cá nhân</t>
  </si>
  <si>
    <t>Chi chênh lệch thu nhập thực tế so với lương</t>
  </si>
  <si>
    <t>PC hành chính, khoán trọ, TD ngoài trời...</t>
  </si>
  <si>
    <t>10% tiết kiệm CCTL 2017</t>
  </si>
  <si>
    <t>Nghiệp vụ chuyên môn</t>
  </si>
  <si>
    <t>Dịch vụ CC</t>
  </si>
  <si>
    <t>Điện (6.500.000/tháng x 12)</t>
  </si>
  <si>
    <t>Thanh toán nhiên liệu : xăng chạy máy PCCC, cắt cỏ (400.000 đ/tháng)</t>
  </si>
  <si>
    <t>Chi chênh lệch TN thực tế</t>
  </si>
  <si>
    <t>Vệ sinh, môi trường: (200.000 đ/tháng)</t>
  </si>
  <si>
    <t>VPP đơn vị (3.000.000 đồng/tháng)</t>
  </si>
  <si>
    <t>Giấy A4: (01 người 02 gram/01 năm x 80.000 đồng/01 gram: 02 gram</t>
  </si>
  <si>
    <t>Giấy A3 (04 người 01 gram/01 năm x 170.000 đồng</t>
  </si>
  <si>
    <t xml:space="preserve">Xăng, vật tư </t>
  </si>
  <si>
    <t>VPP cá nhân (30.000 đồng/người/tháng x 12 tháng x 45người)</t>
  </si>
  <si>
    <t>Mua DCVP(Máy in, màn hình máy tính, usb, ban làm việc, tủ hồ sơ…: 1.000.000đồng/người/năm x 45 người)</t>
  </si>
  <si>
    <t>Mực in máy photocopy ((2 hộp/tháng x 12 tháng x 850.000 đồng/hộp)</t>
  </si>
  <si>
    <t>Mực in A4 (3 người/máy)1 hộp/năm x 900,000 đồng/3 người x 45 người</t>
  </si>
  <si>
    <t>Mua công cụ, dụng cụ: (Máy tính cá nhân, giấy note, kim kẹp, bìa sơmi, kéo, kẹp bướm,…
50.000 đồng/người/tháng x 12 tháng x 45 người)</t>
  </si>
  <si>
    <t>Vật rẻ tiền mau hỏng: (Ly, bình thủy, giấy vệ sinh, chổi, giỏ rác, …
30.000đồng /tháng x 12 tháng x 45 người )</t>
  </si>
  <si>
    <t>Điện thoại :(150.000đ x 2 máy x 12 tháng)</t>
  </si>
  <si>
    <t>Sách báo, TC</t>
  </si>
  <si>
    <t>Internet ADSL :(800.000đ x 12 tháng)</t>
  </si>
  <si>
    <t>Sách báo:(300.000đ/quí x 4 quí)</t>
  </si>
  <si>
    <t>Hội nghị</t>
  </si>
  <si>
    <t>Khoán DT (HT &amp;KT): 2 người * 200.000 đ/ người/tháng x12 tháng</t>
  </si>
  <si>
    <t>In tài liệu</t>
  </si>
  <si>
    <t>Thuê sân khấu, âm thanh:</t>
  </si>
  <si>
    <t>In tài liệu:(4 ngày:Lễ Khai giảng, Sơ kết HKI, Tổng kết năm học, ngày Nhà Giáo Việt Nam 20/11 )</t>
  </si>
  <si>
    <t>Tiền ăn, nước uống:</t>
  </si>
  <si>
    <t>Thuê sân khấu, âm thanh:(4 ngày:Lễ Khai giảng, Sơ kết HKI, Tổng kết năm học, ngày Nhà Giáo Việt Nam 20/11 ngành Giáo dục)</t>
  </si>
  <si>
    <t>Trang trí, vệ sinh</t>
  </si>
  <si>
    <t>Tiền ăn, nước uống:(4 ngày:Lễ Khai giảng, Sơ kết HKI, Tổng kết năm học, ngày Nhà Giáo Việt Nam 20/11 ngành Giáo dục)20.000*4*45
Tiền ăn: 45người x 50.000đ/ng  x 4 lễ )</t>
  </si>
  <si>
    <t>Trang trí, vệ sinh :(Băng rôn: 1 cái x 4 lễ x 250,000 đ/cái)</t>
  </si>
  <si>
    <t>Tàu xe :(Cá nhân đi công tác tự túc trong và ngoài tỉnh cách cơ quan từ 15km trở lên (đi họp về chuyên môn, tập huấn ngắn hạn,  họp giao ban, bồi dưỡng nghiệp vụ quản lý giáo dục…) tính 1 vé: 12.000 đ/vé x 3 vé (1 lượt + đi về: 36.000 đồng): 36.000đồng x 20 lần/năm x 45 người)</t>
  </si>
  <si>
    <t>Phụ cấp công tác phí :Cá nhân đi công tác tự túc trong và ngoài tỉnh cách cơ quan (đi họp về chuyên môn, tập huấn ngắn hạn,  họp giao ban, bồi dưỡng nghiệp vụ quản lý giáo dục…) ( từ 11km đến 15km: 30.000 x 10 lần x 45 GV và từ 15 km trở lên : 50.000đồng x 10 lần/năm x 45 người )</t>
  </si>
  <si>
    <t>Thuê  phòng ngủ :(300.000 đồng/người/năm x 45 người )</t>
  </si>
  <si>
    <t>Khoán CTP (HT &amp;KT)300.000đ/1 tháng x2 người x 12 tháng</t>
  </si>
  <si>
    <t>Chi phí thuê mướn</t>
  </si>
  <si>
    <t>Thuê xe công tác :(Thuê xe vận chuyển thiết bị, sách giáo khoa, dụng cụ chuyên môn)</t>
  </si>
  <si>
    <t>Thuê xe công tác :(Thuê xe chở học sinh thi TDTT, HS Giỏi, năng khiếu : Vòng thị xã : 30 chuyến x 500.000 đ/ 1 chuyến = 15.000.000; Vòng tỉnh: 10 chuyến x 1.000.000 /1 chuyến = 10.000.000 đồng)</t>
  </si>
  <si>
    <t>Thuê mướn khác :(Đào tạo, bồi dưỡng ngắn hạn, tập huấn,</t>
  </si>
  <si>
    <t>Thuê công vệ sinh trường lớp : 2 người x 3.000.000 x 9 tháng</t>
  </si>
  <si>
    <t>Thuê nhân công chăm sóc mảng cây xanh  : 1.000.000 x 12 tháng</t>
  </si>
  <si>
    <t>Tu sửa cơ sở vật chất</t>
  </si>
  <si>
    <t>Sửa chữa khác :(Sửa chữa máy vi tính, máy in, máy scan, máy photocopy, hệ thống điện, 
máy bơm…: )</t>
  </si>
  <si>
    <t>Vật tư làm ĐDDH: 40 cái x200.000/1 cái</t>
  </si>
  <si>
    <t xml:space="preserve">Thiết bị dạy học : 300.000 đồng/người/năm x 45 người </t>
  </si>
  <si>
    <t>In ấn tài liệu chuyên môn :(200.000 đồng/ người / năm x 45 người)</t>
  </si>
  <si>
    <t>Trang phục TDTT, Đội :(2 gv DT x 1.260.000 đồng/người/năm = 2.520.000 đồng ; 1 TPT đội x 200.000 đồng/người/năm = 200.000)</t>
  </si>
  <si>
    <t>Sinh hoạt hè :(375 hs x 5.000 đồng = 1.875.000 đồng; 4 gv hướng dẫn + 1 TPT đội x 250.000 đồng = 1.250.000 đồng)</t>
  </si>
  <si>
    <t>Hội khỏe Phù Đổng:(Chi phí tập huấn, thi đấu, tiền tàu xe chở hs thi đi dự thi)</t>
  </si>
  <si>
    <t>Chi phí khác:(Chi phí NVCM khác)</t>
  </si>
  <si>
    <t>Chi khen thưởng HS (400.000/lớp/năm) x 12 lớp</t>
  </si>
  <si>
    <t>Chi khen thưởng GV</t>
  </si>
  <si>
    <t>Hổ trợ GVTD:(0.1 x 1210000 x 90 tiết/năm)</t>
  </si>
  <si>
    <t>Chi trà nước tiếp khách:</t>
  </si>
  <si>
    <t>Chi nước uống cho GV:(10.000 đồng/tháng/ 1 người x 12 tháng x 45 người)</t>
  </si>
  <si>
    <t>Chi nước uống cho HS:(15 bình/tháng/ 1 lớp x 9 tháng x12 lớp) x 10.000 đ</t>
  </si>
  <si>
    <t>Vệ sinh, trang trí lớp :(40.000 đồng/1 lớp/ 1 năm x 12 lớp)</t>
  </si>
  <si>
    <t>Chi theo TT 40:(THTT, HCTC)</t>
  </si>
  <si>
    <t>Chi khác (Y tế học đường)</t>
  </si>
  <si>
    <t>II / NGUỒN 0212</t>
  </si>
  <si>
    <t>Hoã trôï chi phí học tập 2016-2017</t>
  </si>
  <si>
    <t>Phụ cấp 30% CBGV không trực tiếp đứng lớp, QĐ 26 (10.446*1.300.000*12)</t>
  </si>
  <si>
    <t>TC TTHC : 0.1x1.300.000 x12 tháng</t>
  </si>
  <si>
    <t>TC NVBV: 3x 600.000đx12 tháng</t>
  </si>
  <si>
    <t>HT tạo nguồn (GV + HS)</t>
  </si>
  <si>
    <t>TC NVPV: 2 x 500.000x12 thaùng</t>
  </si>
  <si>
    <t>TC NV YT (0.3 * 1.300.000 * 12 T )</t>
  </si>
  <si>
    <t>TC  NV thư viện ( 0.2x1.300.000/12T) QĐ 58</t>
  </si>
  <si>
    <t>Đồng phục bảo vệ: 3ng x 600.000</t>
  </si>
  <si>
    <t>Ngày 20/11: (46 ng x 200.000)</t>
  </si>
  <si>
    <t>Trợ cấp Thuê trọ: 1GV x 0.7 x 1.300.000 đ x 12T</t>
  </si>
  <si>
    <t>Sửa chữa TSCĐ</t>
  </si>
  <si>
    <t>Ñaøo taïo laïi caùn boä theo QĐ UBND tỉnh (Sơn: Thạch sỹ QLGD; Aùi, Haïnh, Nam, Hueä: Ñaïi hoïc töï tuùc)</t>
  </si>
  <si>
    <t>Sửa chữa hệ thống phòng cháy chữa cháy</t>
  </si>
  <si>
    <t>Làm sân khấu, trang trí pòng truyền thống</t>
  </si>
  <si>
    <t>Sửa chũa nhà vệ sinh nam</t>
  </si>
  <si>
    <t>Nghieäp vuï chuyeân moân</t>
  </si>
  <si>
    <t>Hội khỏe phù đổng</t>
  </si>
  <si>
    <t>Chi khaùc</t>
  </si>
  <si>
    <t>Caáp bu øhoïc phí (60% HTHĐ)</t>
  </si>
  <si>
    <t>Máy photo Toshiba</t>
  </si>
  <si>
    <t>Caáp bu øhoïc phí (40% CCTL)</t>
  </si>
  <si>
    <t xml:space="preserve">Giường ngũ cho học sinh : giường tần ( 1.20 x 2.00) x 2.000.000 đ/cái x 140 cái </t>
  </si>
  <si>
    <t>Tieàn teát 2017: 46 gv*1.000.000</t>
  </si>
  <si>
    <t>Bảo hiểm cháy nổ, hợp đồng NVYT, KT</t>
  </si>
  <si>
    <t>Mua sắm tài sản cố định</t>
  </si>
  <si>
    <t>TỔNG DỰ TOÁN KINH PHÍ NĂM 2017</t>
  </si>
  <si>
    <t>Phaàn meàm quaûn lyù TSCÑ - Misa</t>
  </si>
  <si>
    <t>Phaàn meàm keá toaùn - Misa</t>
  </si>
  <si>
    <t>Söûa chöõa HT quạt ñieän phoøng học</t>
  </si>
  <si>
    <t>Söûa chöõa HT  ñieän phoøng học</t>
  </si>
  <si>
    <t xml:space="preserve">Tiền mua vật tư laøm đồ dùng khoa học kỹ thuật </t>
  </si>
  <si>
    <t>Mua giaáy thi, giaáy kieåm tra HKI</t>
  </si>
  <si>
    <t>Mua giaáy thi, giaáy nhaùp</t>
  </si>
  <si>
    <t>Photo ñeà kieåm tra, ñeà thi HK</t>
  </si>
  <si>
    <t>In, photo hoà sô soå saùch chuyeân moân</t>
  </si>
  <si>
    <t xml:space="preserve">Thueâ xe chôû  thi dieãn ñaøn treû em </t>
  </si>
  <si>
    <t>PC thâm niên nghề, vượt khung</t>
  </si>
  <si>
    <t>Phúc lợi</t>
  </si>
  <si>
    <t>Nước uống HS</t>
  </si>
  <si>
    <t>Tiền nhiên liệu</t>
  </si>
  <si>
    <t>DCVP</t>
  </si>
  <si>
    <t>Sách báo, tạp chí</t>
  </si>
  <si>
    <t>Sửa chữa kính PH</t>
  </si>
  <si>
    <t>STT</t>
  </si>
  <si>
    <t>NỘI DUNG</t>
  </si>
  <si>
    <t>SỐ DƯ ĐK</t>
  </si>
  <si>
    <t>THU</t>
  </si>
  <si>
    <t>CHI</t>
  </si>
  <si>
    <t>TỒN</t>
  </si>
  <si>
    <t>BÁN TRÚ</t>
  </si>
  <si>
    <t xml:space="preserve">Tiền cơm </t>
  </si>
  <si>
    <t>Tiền giấy vệ sinh</t>
  </si>
  <si>
    <t xml:space="preserve">Tiền quản sinh </t>
  </si>
  <si>
    <t xml:space="preserve">Tiền học phí  buổi chiều </t>
  </si>
  <si>
    <t>(TƯ chi sữa chữa CSVC :)</t>
  </si>
  <si>
    <t>THU HỘ</t>
  </si>
  <si>
    <t>Quỹ PHHS 2017-2018</t>
  </si>
  <si>
    <t>Tiền anh văn BN T4</t>
  </si>
  <si>
    <t>Quỹ nhân đạo HS 2017</t>
  </si>
  <si>
    <t>Quỹ Đội</t>
  </si>
  <si>
    <t xml:space="preserve">Quỹ Chữ thập đỏ </t>
  </si>
  <si>
    <t>Quỹ phúc lợi 17-18</t>
  </si>
  <si>
    <t xml:space="preserve">TỔNG CỘNG </t>
  </si>
  <si>
    <t xml:space="preserve">Tiền anh văn BN </t>
  </si>
  <si>
    <t xml:space="preserve">Quỹ nhân đạo HS </t>
  </si>
  <si>
    <t xml:space="preserve">Quỹ phúc lợi </t>
  </si>
  <si>
    <t>Thới Hòa, ngày  25  tháng 01 năm 2018</t>
  </si>
  <si>
    <t xml:space="preserve">Hỗ trợ NVPV  theo QĐ số 26-UBND </t>
  </si>
  <si>
    <t xml:space="preserve">Hổ trợ  BV theo QĐ số 26-UBND </t>
  </si>
  <si>
    <t xml:space="preserve"> QUYẾT TOÁN THU - CHI NGUỒN NSNN, NGUỒN KHÁC - QUÍ III/2018</t>
  </si>
  <si>
    <t>Sửa chữa, bảo trì phần mềm website</t>
  </si>
  <si>
    <t xml:space="preserve">                                                                                                                                                                                                                                                                                                                                                                                               </t>
  </si>
  <si>
    <t>ĐÁNH GIÁ THỰC HIỆN DỰ TOÁN THU- CHI NGÂN SÁCH - QUÍ III/2018</t>
  </si>
  <si>
    <t>Ước thực
hiện QIII/2018</t>
  </si>
  <si>
    <t>Ngày    15     tháng   10  năm 2018</t>
  </si>
  <si>
    <t>Ngày      15   tháng  10   năm 2018</t>
  </si>
  <si>
    <t>Quỹ PHHS 2018-2019</t>
  </si>
  <si>
    <t>Tiền cơm (Q3)</t>
  </si>
  <si>
    <t>Tiền quản sinh (Q3)</t>
  </si>
  <si>
    <t>Tiền học phí  buổi chiều (Q3)</t>
  </si>
  <si>
    <t>Nước uống (Q3)</t>
  </si>
  <si>
    <t>Tiền vệ sinh (Q3)</t>
  </si>
  <si>
    <t>PHAN THANH TÂM</t>
  </si>
  <si>
    <t>NGUYỄN VĂN GIÀU</t>
  </si>
  <si>
    <t>DỰ TOÁN THU- CHI NGÂN SÁCH NHÀ NƯỚC 2018</t>
  </si>
  <si>
    <t>Học phí: 60.000đ/hs/tháng (9 tháng)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</si>
</sst>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_-* #,##0.00\ _₫_-;\-* #,##0.00\ _₫_-;_-* &quot;-&quot;??\ _₫_-;_-@_-"/>
    <numFmt numFmtId="165" formatCode="_(* #,##0_);_(* \(#,##0\);_(* &quot;-&quot;??_);_(@_)"/>
    <numFmt numFmtId="166" formatCode="00"/>
    <numFmt numFmtId="167" formatCode="_(* #,##0_);_(* \(#,##0\);_(* \-??_);_(@_)"/>
  </numFmts>
  <fonts count="71">
    <font>
      <sz val="11"/>
      <color theme="1"/>
      <name val="Calibri"/>
      <family val="2"/>
      <charset val="163"/>
      <scheme val="minor"/>
    </font>
    <font>
      <sz val="11"/>
      <color theme="1"/>
      <name val=".VnArial"/>
      <family val="2"/>
      <charset val="163"/>
    </font>
    <font>
      <sz val="12"/>
      <color theme="1"/>
      <name val="Times New Roman"/>
      <family val="1"/>
      <charset val="163"/>
    </font>
    <font>
      <sz val="10"/>
      <name val="Arial"/>
      <family val="2"/>
    </font>
    <font>
      <b/>
      <sz val="12"/>
      <color theme="1"/>
      <name val="Times New Roman"/>
      <family val="1"/>
    </font>
    <font>
      <i/>
      <sz val="12"/>
      <color theme="1"/>
      <name val="Times New Roman"/>
      <family val="1"/>
    </font>
    <font>
      <sz val="12"/>
      <color theme="1"/>
      <name val="Times New Roman"/>
      <family val="1"/>
    </font>
    <font>
      <sz val="12"/>
      <name val="Times New Roman"/>
      <family val="1"/>
    </font>
    <font>
      <sz val="12"/>
      <color rgb="FFFF0000"/>
      <name val="Times New Roman"/>
      <family val="1"/>
    </font>
    <font>
      <sz val="11"/>
      <color theme="1"/>
      <name val="Calibri"/>
      <family val="2"/>
      <charset val="163"/>
      <scheme val="minor"/>
    </font>
    <font>
      <i/>
      <sz val="11"/>
      <color theme="1"/>
      <name val="Times New Roman"/>
      <family val="1"/>
    </font>
    <font>
      <sz val="14"/>
      <color theme="1"/>
      <name val="Times New Roman"/>
      <family val="1"/>
    </font>
    <font>
      <b/>
      <sz val="14"/>
      <color theme="1"/>
      <name val="Times New Roman"/>
      <family val="1"/>
    </font>
    <font>
      <b/>
      <i/>
      <sz val="12"/>
      <color theme="1"/>
      <name val="Times New Roman"/>
      <family val="1"/>
    </font>
    <font>
      <b/>
      <sz val="12"/>
      <color rgb="FFFF0000"/>
      <name val="Times New Roman"/>
      <family val="1"/>
    </font>
    <font>
      <b/>
      <sz val="14"/>
      <color rgb="FFFF0000"/>
      <name val="Times New Roman"/>
      <family val="1"/>
    </font>
    <font>
      <b/>
      <sz val="12"/>
      <name val="Times New Roman"/>
      <family val="1"/>
    </font>
    <font>
      <u/>
      <sz val="12"/>
      <name val="Times New Roman"/>
      <family val="1"/>
    </font>
    <font>
      <u/>
      <sz val="12"/>
      <color theme="1"/>
      <name val="Times New Roman"/>
      <family val="1"/>
    </font>
    <font>
      <u/>
      <sz val="14"/>
      <color theme="1"/>
      <name val="Times New Roman"/>
      <family val="1"/>
    </font>
    <font>
      <u/>
      <sz val="12"/>
      <name val="VNI-Times"/>
    </font>
    <font>
      <sz val="12"/>
      <name val="VNI-Times"/>
    </font>
    <font>
      <b/>
      <sz val="12"/>
      <name val="VNI-Times"/>
    </font>
    <font>
      <b/>
      <u/>
      <sz val="12"/>
      <name val="VNI-Times"/>
    </font>
    <font>
      <b/>
      <u/>
      <sz val="12"/>
      <color theme="1"/>
      <name val="Times New Roman"/>
      <family val="1"/>
    </font>
    <font>
      <i/>
      <sz val="11"/>
      <name val="Times New Roman"/>
      <family val="1"/>
    </font>
    <font>
      <b/>
      <sz val="14"/>
      <name val="Times New Roman"/>
      <family val="1"/>
    </font>
    <font>
      <i/>
      <sz val="12"/>
      <name val="Times New Roman"/>
      <family val="1"/>
    </font>
    <font>
      <b/>
      <u/>
      <sz val="11"/>
      <color rgb="FFC00000"/>
      <name val="Times New Roman"/>
      <family val="1"/>
    </font>
    <font>
      <b/>
      <u/>
      <sz val="10"/>
      <color rgb="FFC00000"/>
      <name val="Times New Roman"/>
      <family val="1"/>
    </font>
    <font>
      <b/>
      <u/>
      <sz val="10"/>
      <name val="Times New Roman"/>
      <family val="1"/>
    </font>
    <font>
      <b/>
      <u/>
      <sz val="12"/>
      <name val="Times New Roman"/>
      <family val="1"/>
    </font>
    <font>
      <b/>
      <sz val="10"/>
      <name val="Times New Roman"/>
      <family val="1"/>
    </font>
    <font>
      <b/>
      <sz val="11"/>
      <name val="Times New Roman"/>
      <family val="1"/>
    </font>
    <font>
      <sz val="10"/>
      <name val="Times New Roman"/>
      <family val="1"/>
    </font>
    <font>
      <sz val="11"/>
      <name val="Times New Roman"/>
      <family val="1"/>
    </font>
    <font>
      <b/>
      <u/>
      <sz val="11"/>
      <name val="Times New Roman"/>
      <family val="1"/>
    </font>
    <font>
      <sz val="11"/>
      <color indexed="8"/>
      <name val="Calibri"/>
      <family val="2"/>
    </font>
    <font>
      <u/>
      <sz val="10"/>
      <name val="Times New Roman"/>
      <family val="1"/>
    </font>
    <font>
      <b/>
      <sz val="10"/>
      <name val="Calibri"/>
      <family val="2"/>
    </font>
    <font>
      <b/>
      <sz val="10"/>
      <color indexed="8"/>
      <name val="Calibri"/>
      <family val="2"/>
    </font>
    <font>
      <sz val="10"/>
      <color indexed="8"/>
      <name val="Calibri"/>
      <family val="2"/>
    </font>
    <font>
      <sz val="10"/>
      <name val="Calibri"/>
      <family val="2"/>
    </font>
    <font>
      <sz val="12"/>
      <color indexed="8"/>
      <name val="Calibri"/>
      <family val="2"/>
    </font>
    <font>
      <sz val="10"/>
      <color rgb="FFFF0000"/>
      <name val="Times New Roman"/>
      <family val="1"/>
    </font>
    <font>
      <b/>
      <sz val="10"/>
      <color indexed="8"/>
      <name val="Times New Roman"/>
      <family val="1"/>
    </font>
    <font>
      <sz val="10"/>
      <color indexed="8"/>
      <name val="Times New Roman"/>
      <family val="1"/>
    </font>
    <font>
      <sz val="11"/>
      <color indexed="8"/>
      <name val="Times New Roman"/>
      <family val="1"/>
    </font>
    <font>
      <b/>
      <sz val="10"/>
      <name val="Times New Roman"/>
      <family val="1"/>
      <charset val="163"/>
    </font>
    <font>
      <b/>
      <u val="singleAccounting"/>
      <sz val="10"/>
      <color rgb="FFC00000"/>
      <name val="Times New Roman"/>
      <family val="1"/>
    </font>
    <font>
      <sz val="11"/>
      <name val="VNI-Times"/>
    </font>
    <font>
      <b/>
      <sz val="10"/>
      <name val="VNI-Times"/>
    </font>
    <font>
      <sz val="10"/>
      <name val="VNI-Times"/>
    </font>
    <font>
      <b/>
      <sz val="11"/>
      <name val="VNI-Times"/>
    </font>
    <font>
      <b/>
      <u/>
      <sz val="10"/>
      <name val="VNI-Times"/>
    </font>
    <font>
      <b/>
      <sz val="12"/>
      <color rgb="FFC00000"/>
      <name val="Times New Roman"/>
      <family val="1"/>
    </font>
    <font>
      <b/>
      <sz val="10"/>
      <color rgb="FFC00000"/>
      <name val="Times New Roman"/>
      <family val="1"/>
    </font>
    <font>
      <b/>
      <sz val="13"/>
      <name val="Times New Roman"/>
      <family val="1"/>
    </font>
    <font>
      <b/>
      <sz val="14"/>
      <name val="Times New Roman"/>
      <family val="1"/>
      <charset val="163"/>
    </font>
    <font>
      <sz val="14"/>
      <name val="Calibri"/>
      <family val="2"/>
      <charset val="163"/>
      <scheme val="minor"/>
    </font>
    <font>
      <b/>
      <sz val="12"/>
      <name val="Times New Roman"/>
      <family val="1"/>
      <charset val="163"/>
    </font>
    <font>
      <sz val="12"/>
      <name val="Times New Roman"/>
      <family val="1"/>
      <charset val="163"/>
    </font>
    <font>
      <sz val="11"/>
      <name val="Calibri"/>
      <family val="2"/>
      <charset val="163"/>
      <scheme val="minor"/>
    </font>
    <font>
      <i/>
      <sz val="12"/>
      <name val="Times New Roman"/>
      <family val="1"/>
      <charset val="163"/>
    </font>
    <font>
      <sz val="14"/>
      <name val="Cambria"/>
      <family val="1"/>
      <charset val="163"/>
      <scheme val="major"/>
    </font>
    <font>
      <b/>
      <sz val="11"/>
      <name val="Calibri"/>
      <family val="2"/>
      <charset val="163"/>
      <scheme val="minor"/>
    </font>
    <font>
      <b/>
      <i/>
      <sz val="12"/>
      <name val="Times New Roman"/>
      <family val="1"/>
      <charset val="163"/>
    </font>
    <font>
      <b/>
      <sz val="14"/>
      <name val="Cambria"/>
      <family val="1"/>
      <charset val="163"/>
      <scheme val="major"/>
    </font>
    <font>
      <sz val="12"/>
      <name val="Calibri"/>
      <family val="2"/>
      <charset val="163"/>
      <scheme val="minor"/>
    </font>
    <font>
      <sz val="14"/>
      <name val="Times New Roman"/>
      <family val="1"/>
    </font>
    <font>
      <b/>
      <sz val="13"/>
      <color theme="1"/>
      <name val="Times New Roman"/>
      <family val="1"/>
    </font>
  </fonts>
  <fills count="4">
    <fill>
      <patternFill patternType="none"/>
    </fill>
    <fill>
      <patternFill patternType="gray125"/>
    </fill>
    <fill>
      <patternFill patternType="solid">
        <fgColor theme="3" tint="0.79998168889431442"/>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top/>
      <bottom/>
      <diagonal/>
    </border>
    <border>
      <left style="thin">
        <color indexed="64"/>
      </left>
      <right style="thin">
        <color indexed="64"/>
      </right>
      <top/>
      <bottom/>
      <diagonal/>
    </border>
    <border>
      <left style="thin">
        <color indexed="8"/>
      </left>
      <right style="thin">
        <color indexed="8"/>
      </right>
      <top/>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s>
  <cellStyleXfs count="9">
    <xf numFmtId="0" fontId="0" fillId="0" borderId="0"/>
    <xf numFmtId="0" fontId="3" fillId="0" borderId="0"/>
    <xf numFmtId="9" fontId="9" fillId="0" borderId="0" applyFont="0" applyFill="0" applyBorder="0" applyAlignment="0" applyProtection="0"/>
    <xf numFmtId="0" fontId="1" fillId="0" borderId="0"/>
    <xf numFmtId="164" fontId="9" fillId="0" borderId="0" applyFont="0" applyFill="0" applyBorder="0" applyAlignment="0" applyProtection="0"/>
    <xf numFmtId="0" fontId="37" fillId="0" borderId="0"/>
    <xf numFmtId="43" fontId="3" fillId="0" borderId="0" applyFont="0" applyFill="0" applyBorder="0" applyAlignment="0" applyProtection="0">
      <alignment vertical="center"/>
    </xf>
    <xf numFmtId="43" fontId="21" fillId="0" borderId="0" applyFont="0" applyFill="0" applyBorder="0" applyAlignment="0" applyProtection="0"/>
    <xf numFmtId="0" fontId="35" fillId="0" borderId="0"/>
  </cellStyleXfs>
  <cellXfs count="361">
    <xf numFmtId="0" fontId="0" fillId="0" borderId="0" xfId="0"/>
    <xf numFmtId="0" fontId="6" fillId="0" borderId="0" xfId="0" applyFont="1"/>
    <xf numFmtId="0" fontId="4" fillId="0" borderId="1" xfId="0" applyFont="1" applyBorder="1" applyAlignment="1">
      <alignment horizontal="right"/>
    </xf>
    <xf numFmtId="0" fontId="4" fillId="0" borderId="1" xfId="0" applyFont="1" applyBorder="1" applyAlignment="1">
      <alignment wrapText="1"/>
    </xf>
    <xf numFmtId="0" fontId="6" fillId="0" borderId="1" xfId="0" applyFont="1" applyBorder="1" applyAlignment="1">
      <alignment horizontal="right"/>
    </xf>
    <xf numFmtId="0" fontId="6" fillId="0" borderId="1" xfId="0" applyFont="1" applyBorder="1" applyAlignment="1">
      <alignment wrapText="1"/>
    </xf>
    <xf numFmtId="3" fontId="4" fillId="0" borderId="1" xfId="0" applyNumberFormat="1" applyFont="1" applyBorder="1"/>
    <xf numFmtId="0" fontId="11" fillId="0" borderId="0" xfId="0" applyFont="1"/>
    <xf numFmtId="0" fontId="4" fillId="0" borderId="1" xfId="0" applyFont="1" applyBorder="1" applyAlignment="1">
      <alignment horizontal="center" vertical="center"/>
    </xf>
    <xf numFmtId="0" fontId="4" fillId="0" borderId="1" xfId="0" applyFont="1" applyBorder="1" applyAlignment="1">
      <alignment horizontal="center"/>
    </xf>
    <xf numFmtId="0" fontId="6" fillId="0" borderId="1" xfId="0" applyFont="1" applyBorder="1" applyAlignment="1">
      <alignment horizontal="center"/>
    </xf>
    <xf numFmtId="3" fontId="6" fillId="0" borderId="1" xfId="0" applyNumberFormat="1" applyFont="1" applyBorder="1" applyAlignment="1">
      <alignment horizontal="right" vertical="top" wrapText="1"/>
    </xf>
    <xf numFmtId="10" fontId="6" fillId="0" borderId="1" xfId="2" applyNumberFormat="1" applyFont="1" applyBorder="1" applyAlignment="1">
      <alignment horizontal="right" vertical="top" wrapText="1"/>
    </xf>
    <xf numFmtId="3" fontId="6" fillId="0" borderId="1" xfId="0" applyNumberFormat="1" applyFont="1" applyBorder="1" applyAlignment="1">
      <alignment horizontal="right"/>
    </xf>
    <xf numFmtId="10" fontId="6" fillId="0" borderId="1" xfId="2" applyNumberFormat="1" applyFont="1" applyBorder="1" applyAlignment="1">
      <alignment horizontal="right"/>
    </xf>
    <xf numFmtId="3" fontId="6"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xf>
    <xf numFmtId="10" fontId="6" fillId="0" borderId="1" xfId="2" applyNumberFormat="1" applyFont="1" applyBorder="1" applyAlignment="1">
      <alignment horizontal="right" vertical="center"/>
    </xf>
    <xf numFmtId="0" fontId="6" fillId="0" borderId="1" xfId="0" applyFont="1" applyBorder="1" applyAlignment="1">
      <alignment horizontal="left" wrapText="1"/>
    </xf>
    <xf numFmtId="3" fontId="4" fillId="0" borderId="1" xfId="0" applyNumberFormat="1" applyFont="1" applyBorder="1" applyAlignment="1">
      <alignment horizontal="right" vertical="center" wrapText="1"/>
    </xf>
    <xf numFmtId="3" fontId="4" fillId="0" borderId="1" xfId="0" applyNumberFormat="1" applyFont="1" applyBorder="1" applyAlignment="1">
      <alignment horizontal="right" vertical="center"/>
    </xf>
    <xf numFmtId="0" fontId="14" fillId="0" borderId="1" xfId="0" applyFont="1" applyBorder="1" applyAlignment="1">
      <alignment horizontal="center"/>
    </xf>
    <xf numFmtId="0" fontId="14" fillId="0" borderId="1" xfId="0" applyFont="1" applyBorder="1" applyAlignment="1">
      <alignment wrapText="1"/>
    </xf>
    <xf numFmtId="3" fontId="14" fillId="0" borderId="1" xfId="0" applyNumberFormat="1" applyFont="1" applyBorder="1" applyAlignment="1">
      <alignment horizontal="right" vertical="center" wrapText="1"/>
    </xf>
    <xf numFmtId="3" fontId="14" fillId="0" borderId="1" xfId="0" applyNumberFormat="1" applyFont="1" applyBorder="1" applyAlignment="1">
      <alignment horizontal="right" vertical="center"/>
    </xf>
    <xf numFmtId="0" fontId="15" fillId="0" borderId="0" xfId="0" applyFont="1"/>
    <xf numFmtId="0" fontId="16" fillId="0" borderId="1" xfId="0" applyFont="1" applyBorder="1" applyAlignment="1">
      <alignment horizontal="center"/>
    </xf>
    <xf numFmtId="0" fontId="16" fillId="0" borderId="1" xfId="0" applyFont="1" applyBorder="1" applyAlignment="1">
      <alignment horizontal="left"/>
    </xf>
    <xf numFmtId="3" fontId="16" fillId="0" borderId="1" xfId="0" applyNumberFormat="1" applyFont="1" applyBorder="1" applyAlignment="1">
      <alignment horizontal="right"/>
    </xf>
    <xf numFmtId="1" fontId="17" fillId="0" borderId="1" xfId="0" applyNumberFormat="1" applyFont="1" applyBorder="1" applyAlignment="1">
      <alignment horizontal="left" vertical="center"/>
    </xf>
    <xf numFmtId="3" fontId="17" fillId="0" borderId="1" xfId="0" applyNumberFormat="1" applyFont="1" applyBorder="1" applyAlignment="1">
      <alignment vertical="center" wrapText="1"/>
    </xf>
    <xf numFmtId="3" fontId="17" fillId="0" borderId="1" xfId="0" applyNumberFormat="1" applyFont="1" applyBorder="1"/>
    <xf numFmtId="3" fontId="18" fillId="0" borderId="1" xfId="0" applyNumberFormat="1" applyFont="1" applyBorder="1" applyAlignment="1">
      <alignment horizontal="right" vertical="center"/>
    </xf>
    <xf numFmtId="10" fontId="18" fillId="0" borderId="1" xfId="2" applyNumberFormat="1" applyFont="1" applyBorder="1" applyAlignment="1">
      <alignment horizontal="right" vertical="center"/>
    </xf>
    <xf numFmtId="0" fontId="18" fillId="0" borderId="0" xfId="0" applyFont="1"/>
    <xf numFmtId="0" fontId="19" fillId="0" borderId="0" xfId="0" applyFont="1"/>
    <xf numFmtId="1" fontId="7" fillId="0" borderId="1" xfId="0" applyNumberFormat="1" applyFont="1" applyFill="1" applyBorder="1" applyAlignment="1">
      <alignment horizontal="right" vertical="center"/>
    </xf>
    <xf numFmtId="3" fontId="7" fillId="0" borderId="1" xfId="0" applyNumberFormat="1" applyFont="1" applyFill="1" applyBorder="1" applyAlignment="1">
      <alignment vertical="center" wrapText="1"/>
    </xf>
    <xf numFmtId="3" fontId="7" fillId="0" borderId="1" xfId="0" applyNumberFormat="1" applyFont="1" applyFill="1" applyBorder="1"/>
    <xf numFmtId="1" fontId="7" fillId="0" borderId="1" xfId="0" quotePrefix="1" applyNumberFormat="1" applyFont="1" applyFill="1" applyBorder="1" applyAlignment="1">
      <alignment horizontal="right" vertical="center"/>
    </xf>
    <xf numFmtId="1" fontId="8" fillId="0" borderId="1" xfId="0" applyNumberFormat="1" applyFont="1" applyFill="1" applyBorder="1" applyAlignment="1">
      <alignment horizontal="centerContinuous" vertical="center"/>
    </xf>
    <xf numFmtId="3" fontId="7" fillId="0" borderId="1" xfId="0" applyNumberFormat="1" applyFont="1" applyFill="1" applyBorder="1" applyAlignment="1"/>
    <xf numFmtId="1" fontId="17" fillId="0" borderId="1" xfId="0" applyNumberFormat="1" applyFont="1" applyFill="1" applyBorder="1" applyAlignment="1">
      <alignment horizontal="left" vertical="center"/>
    </xf>
    <xf numFmtId="3" fontId="17" fillId="0" borderId="1" xfId="0" applyNumberFormat="1" applyFont="1" applyFill="1" applyBorder="1" applyAlignment="1">
      <alignment vertical="center" wrapText="1"/>
    </xf>
    <xf numFmtId="3" fontId="7" fillId="0" borderId="1" xfId="0" applyNumberFormat="1" applyFont="1" applyBorder="1"/>
    <xf numFmtId="1" fontId="16" fillId="0" borderId="1" xfId="0" applyNumberFormat="1" applyFont="1" applyFill="1" applyBorder="1" applyAlignment="1">
      <alignment horizontal="right" vertical="center"/>
    </xf>
    <xf numFmtId="3" fontId="16" fillId="0" borderId="1" xfId="0" applyNumberFormat="1" applyFont="1" applyFill="1" applyBorder="1" applyAlignment="1">
      <alignment vertical="center" wrapText="1"/>
    </xf>
    <xf numFmtId="3" fontId="16" fillId="0" borderId="1" xfId="0" applyNumberFormat="1" applyFont="1" applyFill="1" applyBorder="1"/>
    <xf numFmtId="10" fontId="4" fillId="0" borderId="1" xfId="2" applyNumberFormat="1" applyFont="1" applyBorder="1" applyAlignment="1">
      <alignment horizontal="right" vertical="center"/>
    </xf>
    <xf numFmtId="1" fontId="17" fillId="0" borderId="1" xfId="0" quotePrefix="1" applyNumberFormat="1" applyFont="1" applyFill="1" applyBorder="1" applyAlignment="1">
      <alignment horizontal="left" vertical="center"/>
    </xf>
    <xf numFmtId="3" fontId="17" fillId="0" borderId="1" xfId="0" applyNumberFormat="1" applyFont="1" applyFill="1" applyBorder="1" applyAlignment="1">
      <alignment horizontal="left" vertical="center" wrapText="1"/>
    </xf>
    <xf numFmtId="3" fontId="17" fillId="0" borderId="1" xfId="0" applyNumberFormat="1" applyFont="1" applyFill="1" applyBorder="1"/>
    <xf numFmtId="1" fontId="7" fillId="0" borderId="1" xfId="0" applyNumberFormat="1" applyFont="1" applyBorder="1" applyAlignment="1">
      <alignment horizontal="right" vertical="center"/>
    </xf>
    <xf numFmtId="1" fontId="7" fillId="0" borderId="1" xfId="0" quotePrefix="1" applyNumberFormat="1" applyFont="1" applyBorder="1" applyAlignment="1">
      <alignment horizontal="right" vertical="center"/>
    </xf>
    <xf numFmtId="3" fontId="7" fillId="0" borderId="1" xfId="0" applyNumberFormat="1" applyFont="1" applyBorder="1" applyAlignment="1">
      <alignment vertical="center" wrapText="1"/>
    </xf>
    <xf numFmtId="1" fontId="17" fillId="0" borderId="1" xfId="0" quotePrefix="1" applyNumberFormat="1" applyFont="1" applyBorder="1" applyAlignment="1">
      <alignment horizontal="left" vertical="center"/>
    </xf>
    <xf numFmtId="1" fontId="20" fillId="0" borderId="1" xfId="0" applyNumberFormat="1" applyFont="1" applyBorder="1" applyAlignment="1">
      <alignment horizontal="left" vertical="center"/>
    </xf>
    <xf numFmtId="0" fontId="6" fillId="0" borderId="1" xfId="3" applyFont="1" applyBorder="1"/>
    <xf numFmtId="1" fontId="21" fillId="0" borderId="1" xfId="0" quotePrefix="1" applyNumberFormat="1" applyFont="1" applyBorder="1" applyAlignment="1">
      <alignment horizontal="right" vertical="center"/>
    </xf>
    <xf numFmtId="1" fontId="21" fillId="0" borderId="1" xfId="0" applyNumberFormat="1" applyFont="1" applyBorder="1" applyAlignment="1">
      <alignment horizontal="right" vertical="center"/>
    </xf>
    <xf numFmtId="0" fontId="7" fillId="0" borderId="1" xfId="3" applyFont="1" applyBorder="1"/>
    <xf numFmtId="3" fontId="7" fillId="0" borderId="1" xfId="0" applyNumberFormat="1" applyFont="1" applyBorder="1" applyAlignment="1">
      <alignment horizontal="right" vertical="center"/>
    </xf>
    <xf numFmtId="10" fontId="7" fillId="0" borderId="1" xfId="2" applyNumberFormat="1" applyFont="1" applyBorder="1" applyAlignment="1">
      <alignment horizontal="right" vertical="center"/>
    </xf>
    <xf numFmtId="0" fontId="7" fillId="0" borderId="0" xfId="0" applyFont="1"/>
    <xf numFmtId="1" fontId="22" fillId="0" borderId="1" xfId="0" applyNumberFormat="1" applyFont="1" applyBorder="1" applyAlignment="1">
      <alignment horizontal="right" vertical="center"/>
    </xf>
    <xf numFmtId="0" fontId="4" fillId="0" borderId="1" xfId="3" applyFont="1" applyBorder="1"/>
    <xf numFmtId="1" fontId="23" fillId="0" borderId="1" xfId="0" applyNumberFormat="1" applyFont="1" applyBorder="1" applyAlignment="1">
      <alignment horizontal="left" vertical="center"/>
    </xf>
    <xf numFmtId="3" fontId="24" fillId="0" borderId="1" xfId="0" applyNumberFormat="1" applyFont="1" applyBorder="1" applyAlignment="1">
      <alignment horizontal="right" vertical="center"/>
    </xf>
    <xf numFmtId="10" fontId="24" fillId="0" borderId="1" xfId="2" applyNumberFormat="1" applyFont="1" applyBorder="1" applyAlignment="1">
      <alignment horizontal="right" vertical="center"/>
    </xf>
    <xf numFmtId="0" fontId="24" fillId="0" borderId="0" xfId="0" applyFont="1"/>
    <xf numFmtId="0" fontId="4" fillId="0" borderId="1" xfId="0" applyFont="1" applyBorder="1"/>
    <xf numFmtId="10" fontId="4" fillId="0" borderId="1" xfId="2" applyNumberFormat="1" applyFont="1" applyBorder="1"/>
    <xf numFmtId="0" fontId="7" fillId="0" borderId="1" xfId="0" applyFont="1" applyBorder="1" applyAlignment="1">
      <alignment horizontal="center"/>
    </xf>
    <xf numFmtId="3" fontId="2" fillId="0" borderId="1" xfId="0" applyNumberFormat="1" applyFont="1" applyBorder="1" applyAlignment="1">
      <alignment horizontal="right" vertical="top" wrapText="1"/>
    </xf>
    <xf numFmtId="3" fontId="20" fillId="0" borderId="1" xfId="0" applyNumberFormat="1" applyFont="1" applyFill="1" applyBorder="1" applyAlignment="1"/>
    <xf numFmtId="3" fontId="7" fillId="0" borderId="1" xfId="0" applyNumberFormat="1" applyFont="1" applyFill="1" applyBorder="1" applyAlignment="1">
      <alignment horizontal="left" vertical="center" wrapText="1"/>
    </xf>
    <xf numFmtId="0" fontId="14" fillId="0" borderId="1" xfId="0" applyFont="1" applyBorder="1" applyAlignment="1">
      <alignment horizontal="center" vertical="center"/>
    </xf>
    <xf numFmtId="0" fontId="14" fillId="0" borderId="1" xfId="0" applyFont="1" applyBorder="1" applyAlignment="1">
      <alignment vertical="center" wrapText="1"/>
    </xf>
    <xf numFmtId="3" fontId="14" fillId="0" borderId="1" xfId="0" applyNumberFormat="1" applyFont="1" applyBorder="1" applyAlignment="1">
      <alignment vertical="center"/>
    </xf>
    <xf numFmtId="0" fontId="11" fillId="0" borderId="0" xfId="0" applyFont="1" applyAlignment="1">
      <alignment vertical="center"/>
    </xf>
    <xf numFmtId="0" fontId="6" fillId="0" borderId="0" xfId="0" applyFont="1" applyAlignment="1">
      <alignment horizontal="center"/>
    </xf>
    <xf numFmtId="0" fontId="12" fillId="0" borderId="0" xfId="0" applyFont="1"/>
    <xf numFmtId="0" fontId="4" fillId="0" borderId="0" xfId="0" applyFont="1"/>
    <xf numFmtId="0" fontId="7" fillId="0" borderId="0" xfId="0" applyFont="1" applyFill="1"/>
    <xf numFmtId="0" fontId="26" fillId="0" borderId="0" xfId="0" applyFont="1" applyFill="1"/>
    <xf numFmtId="0" fontId="16" fillId="0" borderId="0" xfId="0" applyFont="1" applyFill="1"/>
    <xf numFmtId="3" fontId="7" fillId="0" borderId="0" xfId="0" applyNumberFormat="1" applyFont="1" applyFill="1" applyAlignment="1">
      <alignment horizontal="right"/>
    </xf>
    <xf numFmtId="0" fontId="27" fillId="0" borderId="0" xfId="0" applyFont="1" applyFill="1" applyAlignment="1">
      <alignment horizontal="right"/>
    </xf>
    <xf numFmtId="0" fontId="16" fillId="0" borderId="2" xfId="0" applyFont="1" applyFill="1" applyBorder="1" applyAlignment="1">
      <alignment horizontal="center" wrapText="1"/>
    </xf>
    <xf numFmtId="0" fontId="16" fillId="0" borderId="2" xfId="0" applyFont="1" applyFill="1" applyBorder="1" applyAlignment="1">
      <alignment horizontal="center" vertical="center"/>
    </xf>
    <xf numFmtId="0" fontId="16" fillId="0" borderId="0" xfId="0" applyFont="1" applyFill="1" applyAlignment="1">
      <alignment horizontal="center"/>
    </xf>
    <xf numFmtId="0" fontId="16" fillId="0" borderId="1" xfId="0" applyFont="1" applyFill="1" applyBorder="1" applyAlignment="1">
      <alignment horizontal="right"/>
    </xf>
    <xf numFmtId="0" fontId="16" fillId="0" borderId="1" xfId="0" applyFont="1" applyFill="1" applyBorder="1" applyAlignment="1">
      <alignment wrapText="1"/>
    </xf>
    <xf numFmtId="0" fontId="7" fillId="0" borderId="1" xfId="0" applyFont="1" applyFill="1" applyBorder="1" applyAlignment="1">
      <alignment horizontal="right"/>
    </xf>
    <xf numFmtId="0" fontId="7" fillId="0" borderId="1" xfId="0" applyFont="1" applyFill="1" applyBorder="1" applyAlignment="1">
      <alignment wrapText="1"/>
    </xf>
    <xf numFmtId="165" fontId="7" fillId="0" borderId="1" xfId="4" applyNumberFormat="1" applyFont="1" applyFill="1" applyBorder="1" applyAlignment="1">
      <alignment horizontal="center" wrapText="1"/>
    </xf>
    <xf numFmtId="0" fontId="27" fillId="0" borderId="1" xfId="0" applyFont="1" applyFill="1" applyBorder="1" applyAlignment="1">
      <alignment horizontal="right"/>
    </xf>
    <xf numFmtId="0" fontId="27" fillId="0" borderId="1" xfId="0" applyFont="1" applyFill="1" applyBorder="1" applyAlignment="1">
      <alignment wrapText="1"/>
    </xf>
    <xf numFmtId="3" fontId="27" fillId="0" borderId="1" xfId="0" applyNumberFormat="1" applyFont="1" applyFill="1" applyBorder="1"/>
    <xf numFmtId="0" fontId="27" fillId="0" borderId="0" xfId="0" applyFont="1" applyFill="1"/>
    <xf numFmtId="3" fontId="29" fillId="2" borderId="1" xfId="0" applyNumberFormat="1" applyFont="1" applyFill="1" applyBorder="1" applyAlignment="1">
      <alignment horizontal="center" vertical="center"/>
    </xf>
    <xf numFmtId="0" fontId="30" fillId="3" borderId="1" xfId="0" applyFont="1" applyFill="1" applyBorder="1" applyAlignment="1">
      <alignment horizontal="center" vertical="center"/>
    </xf>
    <xf numFmtId="3" fontId="30" fillId="0" borderId="1" xfId="0" applyNumberFormat="1" applyFont="1" applyFill="1" applyBorder="1" applyAlignment="1">
      <alignment horizontal="center" vertical="center"/>
    </xf>
    <xf numFmtId="0" fontId="32" fillId="0" borderId="1" xfId="0" applyFont="1" applyFill="1" applyBorder="1" applyAlignment="1">
      <alignment horizontal="center"/>
    </xf>
    <xf numFmtId="0" fontId="33" fillId="0" borderId="1" xfId="0" applyFont="1" applyFill="1" applyBorder="1"/>
    <xf numFmtId="3" fontId="32" fillId="0" borderId="1" xfId="0" applyNumberFormat="1" applyFont="1" applyFill="1" applyBorder="1" applyAlignment="1">
      <alignment horizontal="right"/>
    </xf>
    <xf numFmtId="0" fontId="32" fillId="3" borderId="1" xfId="0" applyFont="1" applyFill="1" applyBorder="1" applyAlignment="1">
      <alignment horizontal="center"/>
    </xf>
    <xf numFmtId="0" fontId="34" fillId="0" borderId="1" xfId="0" applyFont="1" applyFill="1" applyBorder="1" applyAlignment="1">
      <alignment horizontal="center"/>
    </xf>
    <xf numFmtId="0" fontId="35" fillId="0" borderId="1" xfId="1" applyFont="1" applyFill="1" applyBorder="1"/>
    <xf numFmtId="165" fontId="34" fillId="0" borderId="1" xfId="4" applyNumberFormat="1" applyFont="1" applyFill="1" applyBorder="1"/>
    <xf numFmtId="0" fontId="36" fillId="0" borderId="1" xfId="0" applyFont="1" applyFill="1" applyBorder="1" applyAlignment="1">
      <alignment wrapText="1"/>
    </xf>
    <xf numFmtId="165" fontId="32" fillId="0" borderId="1" xfId="4" applyNumberFormat="1" applyFont="1" applyFill="1" applyBorder="1"/>
    <xf numFmtId="0" fontId="30" fillId="0" borderId="1" xfId="0" applyFont="1" applyFill="1" applyBorder="1" applyAlignment="1">
      <alignment horizontal="center"/>
    </xf>
    <xf numFmtId="3" fontId="32" fillId="0" borderId="1" xfId="0" applyNumberFormat="1" applyFont="1" applyFill="1" applyBorder="1" applyAlignment="1"/>
    <xf numFmtId="0" fontId="35" fillId="0" borderId="1" xfId="0" applyFont="1" applyFill="1" applyBorder="1"/>
    <xf numFmtId="0" fontId="4"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0" xfId="0" applyFont="1" applyAlignment="1">
      <alignment horizontal="center" vertical="center"/>
    </xf>
    <xf numFmtId="3" fontId="11" fillId="0" borderId="0" xfId="0" applyNumberFormat="1" applyFont="1"/>
    <xf numFmtId="0" fontId="30" fillId="3" borderId="1" xfId="5" applyFont="1" applyFill="1" applyBorder="1" applyAlignment="1">
      <alignment horizontal="center"/>
    </xf>
    <xf numFmtId="0" fontId="38" fillId="0" borderId="1" xfId="5" applyFont="1" applyFill="1" applyBorder="1" applyAlignment="1">
      <alignment horizontal="center"/>
    </xf>
    <xf numFmtId="0" fontId="36" fillId="0" borderId="1" xfId="5" applyFont="1" applyFill="1" applyBorder="1" applyAlignment="1">
      <alignment horizontal="left"/>
    </xf>
    <xf numFmtId="165" fontId="30" fillId="0" borderId="1" xfId="6" applyNumberFormat="1" applyFont="1" applyFill="1" applyBorder="1">
      <alignment vertical="center"/>
    </xf>
    <xf numFmtId="0" fontId="39" fillId="3" borderId="1" xfId="5" applyFont="1" applyFill="1" applyBorder="1" applyAlignment="1">
      <alignment horizontal="center"/>
    </xf>
    <xf numFmtId="0" fontId="39" fillId="0" borderId="1" xfId="5" applyFont="1" applyFill="1" applyBorder="1" applyAlignment="1">
      <alignment horizontal="center"/>
    </xf>
    <xf numFmtId="0" fontId="33" fillId="0" borderId="1" xfId="5" applyFont="1" applyFill="1" applyBorder="1"/>
    <xf numFmtId="165" fontId="32" fillId="0" borderId="1" xfId="6" applyNumberFormat="1" applyFont="1" applyFill="1" applyBorder="1">
      <alignment vertical="center"/>
    </xf>
    <xf numFmtId="0" fontId="40" fillId="3" borderId="1" xfId="5" applyFont="1" applyFill="1" applyBorder="1" applyAlignment="1">
      <alignment horizontal="center"/>
    </xf>
    <xf numFmtId="166" fontId="41" fillId="0" borderId="1" xfId="5" applyNumberFormat="1" applyFont="1" applyFill="1" applyBorder="1" applyAlignment="1">
      <alignment horizontal="center"/>
    </xf>
    <xf numFmtId="0" fontId="37" fillId="0" borderId="1" xfId="5" applyFont="1" applyFill="1" applyBorder="1"/>
    <xf numFmtId="165" fontId="34" fillId="0" borderId="1" xfId="6" applyNumberFormat="1" applyFont="1" applyFill="1" applyBorder="1">
      <alignment vertical="center"/>
    </xf>
    <xf numFmtId="0" fontId="37" fillId="0" borderId="1" xfId="5" applyFont="1" applyFill="1" applyBorder="1" applyAlignment="1">
      <alignment wrapText="1"/>
    </xf>
    <xf numFmtId="1" fontId="17" fillId="0" borderId="1" xfId="0" quotePrefix="1" applyNumberFormat="1" applyFont="1" applyFill="1" applyBorder="1" applyAlignment="1">
      <alignment horizontal="right" vertical="center"/>
    </xf>
    <xf numFmtId="167" fontId="35" fillId="0" borderId="1" xfId="0" applyNumberFormat="1" applyFont="1" applyFill="1" applyBorder="1"/>
    <xf numFmtId="0" fontId="42" fillId="0" borderId="1" xfId="5" applyFont="1" applyFill="1" applyBorder="1" applyAlignment="1">
      <alignment horizontal="center"/>
    </xf>
    <xf numFmtId="165" fontId="34" fillId="0" borderId="1" xfId="4" applyNumberFormat="1" applyFont="1" applyFill="1" applyBorder="1" applyAlignment="1">
      <alignment vertical="center"/>
    </xf>
    <xf numFmtId="165" fontId="34" fillId="0" borderId="1" xfId="6" applyNumberFormat="1" applyFont="1" applyFill="1" applyBorder="1" applyAlignment="1"/>
    <xf numFmtId="0" fontId="41" fillId="0" borderId="1" xfId="5" applyFont="1" applyFill="1" applyBorder="1" applyAlignment="1">
      <alignment horizontal="center"/>
    </xf>
    <xf numFmtId="0" fontId="43" fillId="0" borderId="1" xfId="5" applyFont="1" applyFill="1" applyBorder="1" applyAlignment="1">
      <alignment horizontal="left"/>
    </xf>
    <xf numFmtId="0" fontId="16" fillId="0" borderId="1" xfId="5" applyFont="1" applyFill="1" applyBorder="1"/>
    <xf numFmtId="165" fontId="16" fillId="0" borderId="1" xfId="6" applyNumberFormat="1" applyFont="1" applyFill="1" applyBorder="1">
      <alignment vertical="center"/>
    </xf>
    <xf numFmtId="0" fontId="43" fillId="0" borderId="1" xfId="5" applyFont="1" applyFill="1" applyBorder="1" applyAlignment="1">
      <alignment horizontal="right"/>
    </xf>
    <xf numFmtId="0" fontId="43" fillId="0" borderId="1" xfId="5" applyFont="1" applyFill="1" applyBorder="1" applyAlignment="1">
      <alignment wrapText="1"/>
    </xf>
    <xf numFmtId="165" fontId="7" fillId="0" borderId="1" xfId="6" applyNumberFormat="1" applyFont="1" applyFill="1" applyBorder="1" applyAlignment="1"/>
    <xf numFmtId="3" fontId="31" fillId="0" borderId="1" xfId="0" applyNumberFormat="1" applyFont="1" applyFill="1" applyBorder="1"/>
    <xf numFmtId="3" fontId="34" fillId="0" borderId="1" xfId="0" applyNumberFormat="1" applyFont="1" applyFill="1" applyBorder="1" applyAlignment="1">
      <alignment vertical="center"/>
    </xf>
    <xf numFmtId="0" fontId="3" fillId="0" borderId="1" xfId="5" applyFont="1" applyFill="1" applyBorder="1" applyAlignment="1">
      <alignment wrapText="1"/>
    </xf>
    <xf numFmtId="165" fontId="44" fillId="0" borderId="1" xfId="6" applyNumberFormat="1" applyFont="1" applyFill="1" applyBorder="1">
      <alignment vertical="center"/>
    </xf>
    <xf numFmtId="165" fontId="34" fillId="0" borderId="1" xfId="6" applyNumberFormat="1" applyFont="1" applyFill="1" applyBorder="1" applyAlignment="1">
      <alignment vertical="center"/>
    </xf>
    <xf numFmtId="0" fontId="45" fillId="3" borderId="1" xfId="0" applyFont="1" applyFill="1" applyBorder="1" applyAlignment="1">
      <alignment horizontal="center"/>
    </xf>
    <xf numFmtId="0" fontId="46" fillId="0" borderId="1" xfId="0" applyFont="1" applyFill="1" applyBorder="1" applyAlignment="1">
      <alignment horizontal="center"/>
    </xf>
    <xf numFmtId="0" fontId="47" fillId="0" borderId="1" xfId="0" applyFont="1" applyFill="1" applyBorder="1"/>
    <xf numFmtId="0" fontId="30" fillId="0" borderId="1" xfId="5" applyFont="1" applyFill="1" applyBorder="1" applyAlignment="1">
      <alignment horizontal="center"/>
    </xf>
    <xf numFmtId="0" fontId="36" fillId="0" borderId="1" xfId="5" applyFont="1" applyFill="1" applyBorder="1" applyAlignment="1">
      <alignment horizontal="center"/>
    </xf>
    <xf numFmtId="3" fontId="31" fillId="0" borderId="1" xfId="0" applyNumberFormat="1" applyFont="1" applyBorder="1"/>
    <xf numFmtId="165" fontId="48" fillId="0" borderId="4" xfId="6" applyNumberFormat="1" applyFont="1" applyFill="1" applyBorder="1">
      <alignment vertical="center"/>
    </xf>
    <xf numFmtId="165" fontId="34" fillId="3" borderId="4" xfId="6" applyNumberFormat="1" applyFont="1" applyFill="1" applyBorder="1">
      <alignment vertical="center"/>
    </xf>
    <xf numFmtId="165" fontId="34" fillId="0" borderId="4" xfId="6" applyNumberFormat="1" applyFont="1" applyFill="1" applyBorder="1">
      <alignment vertical="center"/>
    </xf>
    <xf numFmtId="165" fontId="49" fillId="2" borderId="1" xfId="0" applyNumberFormat="1" applyFont="1" applyFill="1" applyBorder="1" applyAlignment="1">
      <alignment horizontal="center" vertical="center"/>
    </xf>
    <xf numFmtId="165" fontId="32" fillId="0" borderId="1" xfId="0" applyNumberFormat="1" applyFont="1" applyFill="1" applyBorder="1"/>
    <xf numFmtId="3" fontId="34" fillId="0" borderId="1" xfId="0" applyNumberFormat="1" applyFont="1" applyFill="1" applyBorder="1"/>
    <xf numFmtId="0" fontId="50" fillId="0" borderId="1" xfId="0" applyFont="1" applyFill="1" applyBorder="1" applyAlignment="1">
      <alignment wrapText="1"/>
    </xf>
    <xf numFmtId="0" fontId="35" fillId="0" borderId="1" xfId="0" applyFont="1" applyFill="1" applyBorder="1" applyAlignment="1">
      <alignment wrapText="1"/>
    </xf>
    <xf numFmtId="165" fontId="34" fillId="0" borderId="1" xfId="7" applyNumberFormat="1" applyFont="1" applyFill="1" applyBorder="1"/>
    <xf numFmtId="165" fontId="34" fillId="0" borderId="1" xfId="0" applyNumberFormat="1" applyFont="1" applyFill="1" applyBorder="1"/>
    <xf numFmtId="0" fontId="35" fillId="0" borderId="1" xfId="0" applyFont="1" applyFill="1" applyBorder="1" applyAlignment="1">
      <alignment horizontal="left" wrapText="1"/>
    </xf>
    <xf numFmtId="0" fontId="33" fillId="0" borderId="1" xfId="0" applyFont="1" applyFill="1" applyBorder="1" applyAlignment="1">
      <alignment horizontal="left"/>
    </xf>
    <xf numFmtId="0" fontId="33" fillId="0" borderId="1" xfId="0" applyFont="1" applyFill="1" applyBorder="1" applyAlignment="1">
      <alignment vertical="center"/>
    </xf>
    <xf numFmtId="3" fontId="17" fillId="0" borderId="1" xfId="0" applyNumberFormat="1" applyFont="1" applyBorder="1" applyAlignment="1">
      <alignment vertical="center"/>
    </xf>
    <xf numFmtId="0" fontId="51" fillId="3" borderId="1" xfId="0" applyFont="1" applyFill="1" applyBorder="1" applyAlignment="1">
      <alignment horizontal="center"/>
    </xf>
    <xf numFmtId="0" fontId="52" fillId="0" borderId="1" xfId="0" applyFont="1" applyFill="1" applyBorder="1" applyAlignment="1">
      <alignment horizontal="center"/>
    </xf>
    <xf numFmtId="0" fontId="35" fillId="0" borderId="9" xfId="0" applyFont="1" applyFill="1" applyBorder="1" applyAlignment="1">
      <alignment wrapText="1"/>
    </xf>
    <xf numFmtId="0" fontId="51" fillId="3" borderId="2" xfId="0" applyFont="1" applyFill="1" applyBorder="1" applyAlignment="1">
      <alignment horizontal="center"/>
    </xf>
    <xf numFmtId="0" fontId="52" fillId="0" borderId="2" xfId="0" applyFont="1" applyFill="1" applyBorder="1" applyAlignment="1">
      <alignment horizontal="center"/>
    </xf>
    <xf numFmtId="0" fontId="35" fillId="0" borderId="2" xfId="0" applyFont="1" applyFill="1" applyBorder="1" applyAlignment="1">
      <alignment wrapText="1"/>
    </xf>
    <xf numFmtId="0" fontId="32" fillId="3" borderId="10" xfId="0" applyFont="1" applyFill="1" applyBorder="1" applyAlignment="1">
      <alignment horizontal="center"/>
    </xf>
    <xf numFmtId="0" fontId="34" fillId="0" borderId="11" xfId="0" applyFont="1" applyFill="1" applyBorder="1" applyAlignment="1">
      <alignment horizontal="center"/>
    </xf>
    <xf numFmtId="0" fontId="51" fillId="0" borderId="1" xfId="0" applyFont="1" applyFill="1" applyBorder="1" applyAlignment="1">
      <alignment horizontal="center"/>
    </xf>
    <xf numFmtId="0" fontId="53" fillId="0" borderId="1" xfId="0" applyFont="1" applyFill="1" applyBorder="1"/>
    <xf numFmtId="0" fontId="34" fillId="0" borderId="4" xfId="0" applyFont="1" applyFill="1" applyBorder="1" applyAlignment="1">
      <alignment horizontal="center"/>
    </xf>
    <xf numFmtId="0" fontId="35" fillId="0" borderId="12" xfId="0" applyFont="1" applyFill="1" applyBorder="1"/>
    <xf numFmtId="0" fontId="54" fillId="0" borderId="1" xfId="0" applyFont="1" applyFill="1" applyBorder="1" applyAlignment="1">
      <alignment horizontal="center"/>
    </xf>
    <xf numFmtId="0" fontId="50" fillId="0" borderId="1" xfId="0" applyFont="1" applyFill="1" applyBorder="1"/>
    <xf numFmtId="165" fontId="56" fillId="2" borderId="1" xfId="4" applyNumberFormat="1" applyFont="1" applyFill="1" applyBorder="1" applyAlignment="1">
      <alignment vertical="center"/>
    </xf>
    <xf numFmtId="0" fontId="6" fillId="3" borderId="0" xfId="0" applyFont="1" applyFill="1"/>
    <xf numFmtId="0" fontId="11" fillId="3" borderId="0" xfId="0" applyFont="1" applyFill="1"/>
    <xf numFmtId="9" fontId="14" fillId="0" borderId="1" xfId="2" applyNumberFormat="1" applyFont="1" applyBorder="1" applyAlignment="1">
      <alignment horizontal="right" vertical="center"/>
    </xf>
    <xf numFmtId="3" fontId="35" fillId="0" borderId="1" xfId="8" applyNumberFormat="1" applyFont="1" applyFill="1" applyBorder="1"/>
    <xf numFmtId="3" fontId="35" fillId="0" borderId="2" xfId="8" applyNumberFormat="1" applyFont="1" applyFill="1" applyBorder="1"/>
    <xf numFmtId="3" fontId="7" fillId="0" borderId="1" xfId="8" applyNumberFormat="1" applyFont="1" applyFill="1" applyBorder="1"/>
    <xf numFmtId="0" fontId="35" fillId="0" borderId="1" xfId="8" applyFont="1" applyFill="1" applyBorder="1" applyAlignment="1">
      <alignment horizontal="center"/>
    </xf>
    <xf numFmtId="0" fontId="35" fillId="0" borderId="4" xfId="8" applyFont="1" applyFill="1" applyBorder="1"/>
    <xf numFmtId="165" fontId="35" fillId="0" borderId="1" xfId="4" applyNumberFormat="1" applyFont="1" applyFill="1" applyBorder="1"/>
    <xf numFmtId="0" fontId="35" fillId="0" borderId="4" xfId="8" applyFont="1" applyFill="1" applyBorder="1" applyAlignment="1">
      <alignment wrapText="1"/>
    </xf>
    <xf numFmtId="3" fontId="35" fillId="0" borderId="1" xfId="8" applyNumberFormat="1" applyFont="1" applyFill="1" applyBorder="1" applyAlignment="1">
      <alignment horizontal="center"/>
    </xf>
    <xf numFmtId="3" fontId="33" fillId="0" borderId="1" xfId="8" applyNumberFormat="1" applyFont="1" applyFill="1" applyBorder="1" applyAlignment="1" applyProtection="1">
      <alignment horizontal="right"/>
      <protection locked="0"/>
    </xf>
    <xf numFmtId="0" fontId="16" fillId="0" borderId="0" xfId="0" applyFont="1" applyFill="1" applyAlignment="1">
      <alignment horizontal="center"/>
    </xf>
    <xf numFmtId="0" fontId="4" fillId="0" borderId="1" xfId="0" applyFont="1" applyBorder="1" applyAlignment="1">
      <alignment horizontal="center" vertical="center" wrapText="1"/>
    </xf>
    <xf numFmtId="0" fontId="17" fillId="0" borderId="1" xfId="0" applyFont="1" applyFill="1" applyBorder="1" applyAlignment="1">
      <alignment horizontal="left"/>
    </xf>
    <xf numFmtId="0" fontId="17" fillId="0" borderId="1" xfId="0" applyFont="1" applyFill="1" applyBorder="1"/>
    <xf numFmtId="3" fontId="20" fillId="0" borderId="1" xfId="0" applyNumberFormat="1" applyFont="1" applyFill="1" applyBorder="1"/>
    <xf numFmtId="0" fontId="7" fillId="0" borderId="1" xfId="0" applyFont="1" applyFill="1" applyBorder="1" applyAlignment="1">
      <alignment horizontal="center"/>
    </xf>
    <xf numFmtId="0" fontId="7" fillId="0" borderId="1" xfId="0" applyFont="1" applyFill="1" applyBorder="1"/>
    <xf numFmtId="3" fontId="21" fillId="0" borderId="1" xfId="0" applyNumberFormat="1" applyFont="1" applyFill="1" applyBorder="1"/>
    <xf numFmtId="3" fontId="21" fillId="0" borderId="1" xfId="0" applyNumberFormat="1" applyFont="1" applyFill="1" applyBorder="1" applyAlignment="1"/>
    <xf numFmtId="1" fontId="7" fillId="0" borderId="1" xfId="0" applyNumberFormat="1" applyFont="1" applyFill="1" applyBorder="1" applyAlignment="1">
      <alignment horizontal="center" vertical="center"/>
    </xf>
    <xf numFmtId="3" fontId="23" fillId="0" borderId="1" xfId="0" applyNumberFormat="1" applyFont="1" applyFill="1" applyBorder="1" applyAlignment="1"/>
    <xf numFmtId="0" fontId="21" fillId="0" borderId="1" xfId="0" applyFont="1" applyFill="1" applyBorder="1"/>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3" fontId="20" fillId="0" borderId="1" xfId="0" applyNumberFormat="1" applyFont="1" applyFill="1" applyBorder="1" applyAlignment="1">
      <alignment horizontal="right"/>
    </xf>
    <xf numFmtId="0" fontId="21" fillId="0" borderId="1" xfId="0" applyFont="1" applyFill="1" applyBorder="1" applyAlignment="1">
      <alignment wrapText="1"/>
    </xf>
    <xf numFmtId="0" fontId="21" fillId="0" borderId="1" xfId="0" applyFont="1" applyFill="1" applyBorder="1" applyAlignment="1">
      <alignment horizontal="center"/>
    </xf>
    <xf numFmtId="3" fontId="21" fillId="0" borderId="1" xfId="0" applyNumberFormat="1" applyFont="1" applyFill="1" applyBorder="1" applyAlignment="1">
      <alignment vertical="center"/>
    </xf>
    <xf numFmtId="0" fontId="16" fillId="0" borderId="1" xfId="0" applyFont="1" applyFill="1" applyBorder="1" applyAlignment="1">
      <alignment horizontal="center"/>
    </xf>
    <xf numFmtId="0" fontId="16" fillId="0" borderId="1" xfId="0" applyFont="1" applyFill="1" applyBorder="1" applyAlignment="1">
      <alignment horizontal="left"/>
    </xf>
    <xf numFmtId="3" fontId="16" fillId="0" borderId="1" xfId="0" applyNumberFormat="1" applyFont="1" applyFill="1" applyBorder="1" applyAlignment="1">
      <alignment horizontal="right"/>
    </xf>
    <xf numFmtId="1" fontId="20" fillId="0" borderId="1" xfId="0" applyNumberFormat="1" applyFont="1" applyFill="1" applyBorder="1" applyAlignment="1">
      <alignment horizontal="left" vertical="center"/>
    </xf>
    <xf numFmtId="1" fontId="21" fillId="0" borderId="1" xfId="0" quotePrefix="1" applyNumberFormat="1" applyFont="1" applyFill="1" applyBorder="1" applyAlignment="1">
      <alignment horizontal="right" vertical="center"/>
    </xf>
    <xf numFmtId="1" fontId="21" fillId="0" borderId="1" xfId="0" applyNumberFormat="1" applyFont="1" applyFill="1" applyBorder="1" applyAlignment="1">
      <alignment horizontal="right" vertical="center"/>
    </xf>
    <xf numFmtId="1" fontId="22" fillId="0" borderId="1" xfId="0" applyNumberFormat="1" applyFont="1" applyFill="1" applyBorder="1" applyAlignment="1">
      <alignment horizontal="right" vertical="center"/>
    </xf>
    <xf numFmtId="1" fontId="23" fillId="0" borderId="1" xfId="0" applyNumberFormat="1" applyFont="1" applyFill="1" applyBorder="1" applyAlignment="1">
      <alignment horizontal="left" vertical="center"/>
    </xf>
    <xf numFmtId="0" fontId="57" fillId="0" borderId="1" xfId="8" applyFont="1" applyFill="1" applyBorder="1" applyAlignment="1">
      <alignment horizontal="center" vertical="center"/>
    </xf>
    <xf numFmtId="0" fontId="57" fillId="0" borderId="4" xfId="8" applyFont="1" applyFill="1" applyBorder="1" applyAlignment="1">
      <alignment horizontal="center" vertical="center"/>
    </xf>
    <xf numFmtId="0" fontId="36" fillId="0" borderId="1" xfId="8" applyFont="1" applyFill="1" applyBorder="1" applyAlignment="1">
      <alignment horizontal="center" vertical="center"/>
    </xf>
    <xf numFmtId="0" fontId="36" fillId="0" borderId="4" xfId="8" applyFont="1" applyFill="1" applyBorder="1" applyAlignment="1">
      <alignment vertical="center"/>
    </xf>
    <xf numFmtId="3" fontId="32" fillId="0" borderId="1" xfId="8" applyNumberFormat="1" applyFont="1" applyFill="1" applyBorder="1" applyAlignment="1">
      <alignment horizontal="right" vertical="center"/>
    </xf>
    <xf numFmtId="0" fontId="36" fillId="0" borderId="1" xfId="8" applyFont="1" applyFill="1" applyBorder="1" applyAlignment="1">
      <alignment horizontal="center"/>
    </xf>
    <xf numFmtId="0" fontId="36" fillId="0" borderId="4" xfId="8" applyFont="1" applyFill="1" applyBorder="1"/>
    <xf numFmtId="3" fontId="32" fillId="0" borderId="1" xfId="8" applyNumberFormat="1" applyFont="1" applyFill="1" applyBorder="1" applyAlignment="1">
      <alignment horizontal="right"/>
    </xf>
    <xf numFmtId="0" fontId="7" fillId="0" borderId="1" xfId="8" applyFont="1" applyFill="1" applyBorder="1" applyAlignment="1">
      <alignment horizontal="center" vertical="center"/>
    </xf>
    <xf numFmtId="0" fontId="33" fillId="0" borderId="1" xfId="8" applyFont="1" applyFill="1" applyBorder="1" applyAlignment="1">
      <alignment horizontal="center"/>
    </xf>
    <xf numFmtId="165" fontId="33" fillId="0" borderId="1" xfId="4" applyNumberFormat="1" applyFont="1" applyFill="1" applyBorder="1" applyAlignment="1">
      <alignment vertical="center"/>
    </xf>
    <xf numFmtId="0" fontId="35" fillId="0" borderId="0" xfId="0" applyFont="1" applyFill="1"/>
    <xf numFmtId="0" fontId="58" fillId="0" borderId="0" xfId="0" applyFont="1" applyFill="1"/>
    <xf numFmtId="0" fontId="59" fillId="0" borderId="0" xfId="0" applyFont="1" applyFill="1"/>
    <xf numFmtId="0" fontId="61" fillId="0" borderId="0" xfId="0" applyFont="1" applyFill="1"/>
    <xf numFmtId="0" fontId="62" fillId="0" borderId="0" xfId="0" applyFont="1" applyFill="1"/>
    <xf numFmtId="0" fontId="64" fillId="0" borderId="0" xfId="0" applyFont="1" applyFill="1"/>
    <xf numFmtId="0" fontId="65" fillId="0" borderId="0" xfId="0" applyFont="1" applyFill="1"/>
    <xf numFmtId="0" fontId="60" fillId="0" borderId="1" xfId="0" applyFont="1" applyFill="1" applyBorder="1" applyAlignment="1">
      <alignment horizontal="center" vertical="center" wrapText="1"/>
    </xf>
    <xf numFmtId="0" fontId="60" fillId="0" borderId="1" xfId="0" applyFont="1" applyFill="1" applyBorder="1" applyAlignment="1">
      <alignment horizontal="center" vertical="center"/>
    </xf>
    <xf numFmtId="0" fontId="60" fillId="0" borderId="1" xfId="0" applyFont="1" applyFill="1" applyBorder="1" applyAlignment="1">
      <alignment vertical="center" wrapText="1"/>
    </xf>
    <xf numFmtId="3" fontId="16" fillId="0" borderId="1" xfId="0" applyNumberFormat="1" applyFont="1" applyFill="1" applyBorder="1" applyAlignment="1">
      <alignment horizontal="right" vertical="center"/>
    </xf>
    <xf numFmtId="0" fontId="66" fillId="0" borderId="1" xfId="0" applyFont="1" applyFill="1" applyBorder="1" applyAlignment="1">
      <alignment horizontal="center" vertical="center"/>
    </xf>
    <xf numFmtId="0" fontId="60" fillId="0" borderId="1" xfId="0" applyFont="1" applyFill="1" applyBorder="1" applyAlignment="1">
      <alignment vertical="center"/>
    </xf>
    <xf numFmtId="0" fontId="67" fillId="0" borderId="0" xfId="0" applyFont="1" applyFill="1" applyAlignment="1">
      <alignment vertical="center"/>
    </xf>
    <xf numFmtId="0" fontId="61" fillId="0" borderId="1" xfId="0" applyFont="1" applyFill="1" applyBorder="1" applyAlignment="1">
      <alignment horizontal="center"/>
    </xf>
    <xf numFmtId="0" fontId="61" fillId="0" borderId="1" xfId="0" applyFont="1" applyFill="1" applyBorder="1" applyAlignment="1">
      <alignment wrapText="1"/>
    </xf>
    <xf numFmtId="3" fontId="7" fillId="0" borderId="1" xfId="0" applyNumberFormat="1" applyFont="1" applyFill="1" applyBorder="1" applyAlignment="1">
      <alignment horizontal="right"/>
    </xf>
    <xf numFmtId="0" fontId="63" fillId="0" borderId="1" xfId="0" applyFont="1" applyFill="1" applyBorder="1" applyAlignment="1">
      <alignment horizontal="center"/>
    </xf>
    <xf numFmtId="0" fontId="61" fillId="0" borderId="1" xfId="0" applyFont="1" applyFill="1" applyBorder="1"/>
    <xf numFmtId="3" fontId="61" fillId="0" borderId="1" xfId="0" applyNumberFormat="1" applyFont="1" applyFill="1" applyBorder="1" applyAlignment="1">
      <alignment vertical="top" wrapText="1"/>
    </xf>
    <xf numFmtId="0" fontId="61" fillId="0" borderId="1" xfId="0" applyFont="1" applyFill="1" applyBorder="1" applyAlignment="1">
      <alignment horizontal="justify" vertical="top" wrapText="1"/>
    </xf>
    <xf numFmtId="3" fontId="61" fillId="0" borderId="1" xfId="0" applyNumberFormat="1" applyFont="1" applyFill="1" applyBorder="1" applyAlignment="1">
      <alignment horizontal="right" vertical="top" wrapText="1"/>
    </xf>
    <xf numFmtId="3" fontId="61" fillId="0" borderId="1" xfId="0" applyNumberFormat="1" applyFont="1" applyFill="1" applyBorder="1"/>
    <xf numFmtId="0" fontId="62" fillId="0" borderId="1" xfId="0" applyFont="1" applyFill="1" applyBorder="1"/>
    <xf numFmtId="0" fontId="16" fillId="0" borderId="1" xfId="0" applyFont="1" applyFill="1" applyBorder="1" applyAlignment="1">
      <alignment horizontal="justify" vertical="top" wrapText="1"/>
    </xf>
    <xf numFmtId="3" fontId="16" fillId="0" borderId="1" xfId="0" applyNumberFormat="1" applyFont="1" applyFill="1" applyBorder="1" applyAlignment="1">
      <alignment horizontal="right" vertical="top" wrapText="1"/>
    </xf>
    <xf numFmtId="0" fontId="68" fillId="0" borderId="1" xfId="0" applyFont="1" applyFill="1" applyBorder="1"/>
    <xf numFmtId="0" fontId="68" fillId="0" borderId="0" xfId="0" applyFont="1" applyFill="1"/>
    <xf numFmtId="3" fontId="61" fillId="0" borderId="1" xfId="0" applyNumberFormat="1" applyFont="1" applyFill="1" applyBorder="1" applyAlignment="1"/>
    <xf numFmtId="0" fontId="67" fillId="0" borderId="0" xfId="0" applyFont="1" applyFill="1"/>
    <xf numFmtId="0" fontId="62" fillId="0" borderId="0" xfId="0" applyFont="1" applyFill="1" applyAlignment="1">
      <alignment vertical="center"/>
    </xf>
    <xf numFmtId="0" fontId="62" fillId="0" borderId="0" xfId="0" applyFont="1" applyFill="1" applyBorder="1" applyAlignment="1">
      <alignment vertical="center"/>
    </xf>
    <xf numFmtId="3" fontId="16" fillId="0" borderId="1" xfId="0" applyNumberFormat="1" applyFont="1" applyFill="1" applyBorder="1" applyAlignment="1">
      <alignment horizontal="right" wrapText="1"/>
    </xf>
    <xf numFmtId="0" fontId="61" fillId="0" borderId="1" xfId="0" applyFont="1" applyFill="1" applyBorder="1" applyAlignment="1"/>
    <xf numFmtId="0" fontId="62" fillId="0" borderId="0" xfId="0" applyFont="1" applyFill="1" applyAlignment="1"/>
    <xf numFmtId="3" fontId="62" fillId="0" borderId="0" xfId="0" applyNumberFormat="1" applyFont="1" applyFill="1" applyBorder="1" applyAlignment="1"/>
    <xf numFmtId="0" fontId="62" fillId="0" borderId="0" xfId="0" applyFont="1" applyFill="1" applyBorder="1" applyAlignment="1"/>
    <xf numFmtId="0" fontId="62" fillId="0" borderId="0" xfId="0" applyFont="1" applyFill="1" applyBorder="1"/>
    <xf numFmtId="3" fontId="62" fillId="0" borderId="0" xfId="0" applyNumberFormat="1" applyFont="1" applyFill="1" applyBorder="1"/>
    <xf numFmtId="165" fontId="62" fillId="0" borderId="0" xfId="0" applyNumberFormat="1" applyFont="1" applyFill="1"/>
    <xf numFmtId="3" fontId="16" fillId="0" borderId="1" xfId="0" applyNumberFormat="1" applyFont="1" applyFill="1" applyBorder="1" applyAlignment="1"/>
    <xf numFmtId="0" fontId="62" fillId="0" borderId="1" xfId="0" applyFont="1" applyFill="1" applyBorder="1" applyAlignment="1"/>
    <xf numFmtId="0" fontId="7" fillId="0" borderId="1" xfId="3" applyFont="1" applyFill="1" applyBorder="1"/>
    <xf numFmtId="0" fontId="16" fillId="0" borderId="1" xfId="3" applyFont="1" applyFill="1" applyBorder="1"/>
    <xf numFmtId="3" fontId="16" fillId="0" borderId="1" xfId="0" applyNumberFormat="1" applyFont="1" applyFill="1" applyBorder="1" applyAlignment="1">
      <alignment vertical="center"/>
    </xf>
    <xf numFmtId="0" fontId="62" fillId="0" borderId="1" xfId="0" applyFont="1" applyFill="1" applyBorder="1" applyAlignment="1">
      <alignment vertical="center"/>
    </xf>
    <xf numFmtId="3" fontId="35" fillId="0" borderId="1" xfId="8" applyNumberFormat="1" applyFont="1" applyFill="1" applyBorder="1" applyAlignment="1" applyProtection="1">
      <alignment horizontal="right"/>
      <protection locked="0"/>
    </xf>
    <xf numFmtId="165" fontId="35" fillId="0" borderId="14" xfId="4" applyNumberFormat="1" applyFont="1" applyFill="1" applyBorder="1" applyAlignment="1">
      <alignment horizontal="center"/>
    </xf>
    <xf numFmtId="0" fontId="7" fillId="0" borderId="4" xfId="8" applyNumberFormat="1" applyFont="1" applyFill="1" applyBorder="1" applyAlignment="1" applyProtection="1">
      <alignment horizontal="left"/>
      <protection locked="0"/>
    </xf>
    <xf numFmtId="3" fontId="62" fillId="0" borderId="1" xfId="0" applyNumberFormat="1" applyFont="1" applyFill="1" applyBorder="1"/>
    <xf numFmtId="0" fontId="7" fillId="0" borderId="13" xfId="8" applyNumberFormat="1" applyFont="1" applyFill="1" applyBorder="1" applyAlignment="1" applyProtection="1">
      <alignment horizontal="left"/>
      <protection locked="0"/>
    </xf>
    <xf numFmtId="3" fontId="35" fillId="0" borderId="2" xfId="8" applyNumberFormat="1" applyFont="1" applyFill="1" applyBorder="1" applyAlignment="1" applyProtection="1">
      <alignment horizontal="right"/>
      <protection locked="0"/>
    </xf>
    <xf numFmtId="0" fontId="7" fillId="0" borderId="1" xfId="8" applyNumberFormat="1" applyFont="1" applyFill="1" applyBorder="1" applyAlignment="1" applyProtection="1">
      <alignment horizontal="left"/>
      <protection locked="0"/>
    </xf>
    <xf numFmtId="3" fontId="7" fillId="0" borderId="1" xfId="8" applyNumberFormat="1" applyFont="1" applyFill="1" applyBorder="1" applyAlignment="1" applyProtection="1">
      <alignment horizontal="right"/>
      <protection locked="0"/>
    </xf>
    <xf numFmtId="0" fontId="16" fillId="0" borderId="1" xfId="8" applyNumberFormat="1" applyFont="1" applyFill="1" applyBorder="1" applyAlignment="1" applyProtection="1">
      <alignment horizontal="left"/>
      <protection locked="0"/>
    </xf>
    <xf numFmtId="165" fontId="62" fillId="0" borderId="1" xfId="4" applyNumberFormat="1" applyFont="1" applyFill="1" applyBorder="1"/>
    <xf numFmtId="0" fontId="69" fillId="0" borderId="0" xfId="0" applyFont="1" applyFill="1"/>
    <xf numFmtId="3" fontId="69" fillId="0" borderId="0" xfId="0" applyNumberFormat="1" applyFont="1" applyFill="1"/>
    <xf numFmtId="3" fontId="62" fillId="0" borderId="0" xfId="0" applyNumberFormat="1" applyFont="1" applyFill="1"/>
    <xf numFmtId="3" fontId="16" fillId="0" borderId="0" xfId="0" applyNumberFormat="1" applyFont="1" applyFill="1" applyAlignment="1">
      <alignment horizontal="center"/>
    </xf>
    <xf numFmtId="0" fontId="25" fillId="0" borderId="0" xfId="0" applyFont="1" applyFill="1" applyAlignment="1">
      <alignment horizontal="center" wrapText="1"/>
    </xf>
    <xf numFmtId="0" fontId="25" fillId="0" borderId="0" xfId="0" applyFont="1" applyFill="1" applyAlignment="1">
      <alignment horizontal="center"/>
    </xf>
    <xf numFmtId="0" fontId="7" fillId="0" borderId="0" xfId="0" applyFont="1" applyFill="1" applyAlignment="1">
      <alignment horizontal="center"/>
    </xf>
    <xf numFmtId="0" fontId="16" fillId="0" borderId="0" xfId="0" applyFont="1" applyFill="1" applyAlignment="1">
      <alignment horizontal="center"/>
    </xf>
    <xf numFmtId="0" fontId="26" fillId="0" borderId="0" xfId="0" applyFont="1" applyFill="1"/>
    <xf numFmtId="0" fontId="16" fillId="0" borderId="0" xfId="0" applyFont="1" applyFill="1"/>
    <xf numFmtId="0" fontId="27" fillId="0" borderId="0" xfId="0" applyFont="1" applyFill="1" applyAlignment="1">
      <alignment horizontal="center"/>
    </xf>
    <xf numFmtId="0" fontId="27" fillId="0" borderId="0" xfId="0" applyFont="1" applyFill="1" applyAlignment="1">
      <alignment horizontal="right"/>
    </xf>
    <xf numFmtId="165" fontId="55" fillId="2" borderId="1" xfId="4" applyNumberFormat="1" applyFont="1" applyFill="1" applyBorder="1" applyAlignment="1">
      <alignment horizontal="center" vertical="center"/>
    </xf>
    <xf numFmtId="0" fontId="28"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31" fillId="0" borderId="1"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5" xfId="0" applyFont="1" applyFill="1" applyBorder="1" applyAlignment="1">
      <alignment horizontal="center" vertical="center"/>
    </xf>
    <xf numFmtId="0" fontId="5" fillId="0" borderId="7" xfId="0" applyFont="1" applyBorder="1" applyAlignment="1">
      <alignment horizontal="center"/>
    </xf>
    <xf numFmtId="0" fontId="4" fillId="0" borderId="0" xfId="0" applyFont="1" applyAlignment="1">
      <alignment horizontal="center"/>
    </xf>
    <xf numFmtId="0" fontId="6" fillId="0" borderId="0" xfId="0" applyFont="1" applyAlignment="1">
      <alignment horizontal="center"/>
    </xf>
    <xf numFmtId="0" fontId="5" fillId="0" borderId="6"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0" borderId="0" xfId="0" applyFont="1" applyAlignment="1">
      <alignment horizontal="center" wrapText="1"/>
    </xf>
    <xf numFmtId="0" fontId="4" fillId="0" borderId="0" xfId="0" applyFont="1"/>
    <xf numFmtId="0" fontId="33" fillId="0" borderId="4" xfId="8" applyFont="1" applyFill="1" applyBorder="1" applyAlignment="1">
      <alignment horizontal="center" vertical="center"/>
    </xf>
    <xf numFmtId="0" fontId="33" fillId="0" borderId="5" xfId="8" applyFont="1" applyFill="1" applyBorder="1" applyAlignment="1">
      <alignment horizontal="center" vertical="center"/>
    </xf>
    <xf numFmtId="165" fontId="62" fillId="0" borderId="0" xfId="7" applyNumberFormat="1" applyFont="1" applyFill="1" applyBorder="1" applyAlignment="1">
      <alignment horizontal="center"/>
    </xf>
    <xf numFmtId="0" fontId="61" fillId="0" borderId="0" xfId="0" applyFont="1" applyFill="1" applyAlignment="1">
      <alignment horizontal="center"/>
    </xf>
    <xf numFmtId="0" fontId="63" fillId="0" borderId="6" xfId="0" applyFont="1" applyFill="1" applyBorder="1" applyAlignment="1">
      <alignment horizontal="right"/>
    </xf>
    <xf numFmtId="0" fontId="27" fillId="0" borderId="0" xfId="0" applyFont="1" applyFill="1" applyBorder="1" applyAlignment="1">
      <alignment horizontal="center"/>
    </xf>
    <xf numFmtId="0" fontId="27" fillId="0" borderId="15" xfId="0" applyFont="1" applyFill="1" applyBorder="1" applyAlignment="1">
      <alignment horizontal="center"/>
    </xf>
    <xf numFmtId="0" fontId="16" fillId="0" borderId="15" xfId="0" applyFont="1" applyFill="1" applyBorder="1" applyAlignment="1">
      <alignment horizontal="center"/>
    </xf>
    <xf numFmtId="0" fontId="60" fillId="0" borderId="2" xfId="0" applyFont="1" applyFill="1" applyBorder="1" applyAlignment="1">
      <alignment horizontal="center" vertical="center" wrapText="1"/>
    </xf>
    <xf numFmtId="0" fontId="60" fillId="0" borderId="3" xfId="0" applyFont="1" applyFill="1" applyBorder="1" applyAlignment="1">
      <alignment horizontal="center" vertical="center" wrapText="1"/>
    </xf>
    <xf numFmtId="0" fontId="60" fillId="0" borderId="2" xfId="0" applyFont="1" applyFill="1" applyBorder="1" applyAlignment="1">
      <alignment horizontal="center" vertical="center"/>
    </xf>
    <xf numFmtId="0" fontId="60" fillId="0" borderId="3" xfId="0" applyFont="1" applyFill="1" applyBorder="1" applyAlignment="1">
      <alignment horizontal="center" vertical="center"/>
    </xf>
    <xf numFmtId="0" fontId="60" fillId="0" borderId="4" xfId="0" applyFont="1" applyFill="1" applyBorder="1" applyAlignment="1">
      <alignment horizontal="center" vertical="center"/>
    </xf>
    <xf numFmtId="0" fontId="60" fillId="0" borderId="8" xfId="0" applyFont="1" applyFill="1" applyBorder="1" applyAlignment="1">
      <alignment horizontal="center" vertical="center"/>
    </xf>
    <xf numFmtId="0" fontId="60" fillId="0" borderId="5" xfId="0" applyFont="1" applyFill="1" applyBorder="1" applyAlignment="1">
      <alignment horizontal="center" vertical="center"/>
    </xf>
    <xf numFmtId="0" fontId="58" fillId="0" borderId="0" xfId="0" applyFont="1" applyFill="1"/>
    <xf numFmtId="0" fontId="60" fillId="0" borderId="0" xfId="0" applyFont="1" applyFill="1"/>
    <xf numFmtId="0" fontId="60" fillId="0" borderId="0" xfId="0" applyFont="1" applyFill="1" applyAlignment="1">
      <alignment horizontal="center"/>
    </xf>
    <xf numFmtId="0" fontId="63" fillId="0" borderId="0" xfId="0" applyFont="1" applyFill="1" applyAlignment="1">
      <alignment horizontal="center"/>
    </xf>
    <xf numFmtId="3" fontId="16" fillId="0" borderId="1" xfId="8" applyNumberFormat="1" applyFont="1" applyFill="1" applyBorder="1" applyAlignment="1">
      <alignment horizontal="right"/>
    </xf>
    <xf numFmtId="3" fontId="7" fillId="0" borderId="2" xfId="8" applyNumberFormat="1" applyFont="1" applyFill="1" applyBorder="1" applyAlignment="1" applyProtection="1">
      <alignment horizontal="right"/>
      <protection locked="0"/>
    </xf>
    <xf numFmtId="3" fontId="7" fillId="0" borderId="2" xfId="8" applyNumberFormat="1" applyFont="1" applyFill="1" applyBorder="1"/>
    <xf numFmtId="165" fontId="6" fillId="0" borderId="5" xfId="4" applyNumberFormat="1" applyFont="1" applyBorder="1" applyAlignment="1">
      <alignment horizontal="right"/>
    </xf>
    <xf numFmtId="3" fontId="16" fillId="0" borderId="1" xfId="8" applyNumberFormat="1" applyFont="1" applyFill="1" applyBorder="1" applyAlignment="1" applyProtection="1">
      <alignment horizontal="right"/>
      <protection locked="0"/>
    </xf>
    <xf numFmtId="165" fontId="7" fillId="0" borderId="1" xfId="4" applyNumberFormat="1" applyFont="1" applyFill="1" applyBorder="1"/>
    <xf numFmtId="165" fontId="68" fillId="0" borderId="1" xfId="4" applyNumberFormat="1" applyFont="1" applyFill="1" applyBorder="1"/>
    <xf numFmtId="0" fontId="16" fillId="0" borderId="1" xfId="0" applyFont="1" applyFill="1" applyBorder="1" applyAlignment="1">
      <alignment horizontal="center" vertical="center"/>
    </xf>
    <xf numFmtId="0" fontId="57" fillId="0" borderId="1" xfId="0" applyFont="1" applyFill="1" applyBorder="1" applyAlignment="1">
      <alignment vertical="center" wrapText="1"/>
    </xf>
    <xf numFmtId="0" fontId="33" fillId="0" borderId="4" xfId="8" applyFont="1" applyFill="1" applyBorder="1"/>
    <xf numFmtId="165" fontId="33" fillId="0" borderId="1" xfId="4" applyNumberFormat="1" applyFont="1" applyFill="1" applyBorder="1"/>
    <xf numFmtId="3" fontId="33" fillId="0" borderId="1" xfId="8" applyNumberFormat="1" applyFont="1" applyFill="1" applyBorder="1"/>
    <xf numFmtId="0" fontId="65" fillId="0" borderId="0" xfId="0" applyFont="1" applyFill="1" applyAlignment="1">
      <alignment horizontal="center"/>
    </xf>
    <xf numFmtId="3" fontId="65" fillId="0" borderId="0" xfId="0" applyNumberFormat="1" applyFont="1" applyFill="1" applyAlignment="1">
      <alignment horizontal="center"/>
    </xf>
    <xf numFmtId="3" fontId="65" fillId="0" borderId="15" xfId="0" applyNumberFormat="1" applyFont="1" applyFill="1" applyBorder="1" applyAlignment="1">
      <alignment horizontal="center"/>
    </xf>
    <xf numFmtId="0" fontId="10" fillId="0" borderId="15" xfId="0" applyFont="1" applyBorder="1" applyAlignment="1">
      <alignment horizontal="center" wrapText="1"/>
    </xf>
    <xf numFmtId="0" fontId="25" fillId="0" borderId="0" xfId="0" applyFont="1" applyFill="1" applyAlignment="1">
      <alignment wrapText="1"/>
    </xf>
    <xf numFmtId="0" fontId="70" fillId="0" borderId="0" xfId="0" applyFont="1"/>
    <xf numFmtId="0" fontId="12" fillId="0" borderId="0" xfId="0" applyFont="1" applyAlignment="1">
      <alignment horizontal="center" vertical="center"/>
    </xf>
    <xf numFmtId="0" fontId="12" fillId="0" borderId="15" xfId="0" applyFont="1" applyBorder="1" applyAlignment="1">
      <alignment horizontal="center" vertical="center"/>
    </xf>
    <xf numFmtId="0" fontId="11" fillId="0" borderId="0" xfId="0" applyFont="1" applyBorder="1"/>
  </cellXfs>
  <cellStyles count="9">
    <cellStyle name="Comma" xfId="4" builtinId="3"/>
    <cellStyle name="Comma 2" xfId="7"/>
    <cellStyle name="Comma 3" xfId="6"/>
    <cellStyle name="Normal" xfId="0" builtinId="0"/>
    <cellStyle name="Normal 2" xfId="1"/>
    <cellStyle name="Normal 3" xfId="3"/>
    <cellStyle name="Normal 3_DU TOAN 13,14" xfId="5"/>
    <cellStyle name="Normal_CONG KHAI TAI CHINH QUY 4" xfId="8"/>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I_TAI%20CHINH%20theo%20TT61.2018_THCS%20M&#7929;%20ph&#432;&#7899;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C\Downloads\QI_TAI%20CHINH%20theo%20TT61.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2"/>
      <sheetName val="Bieu 3"/>
      <sheetName val="Bieu 4"/>
    </sheetNames>
    <sheetDataSet>
      <sheetData sheetId="0">
        <row r="2">
          <cell r="A2" t="str">
            <v>Trường THCS Mỹ Phước</v>
          </cell>
          <cell r="B2"/>
        </row>
        <row r="3">
          <cell r="A3" t="str">
            <v xml:space="preserve"> Chương: 622</v>
          </cell>
          <cell r="B3"/>
        </row>
        <row r="12">
          <cell r="C12">
            <v>204930000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2"/>
      <sheetName val="Bieu 3"/>
      <sheetName val="Bieu 4"/>
    </sheetNames>
    <sheetDataSet>
      <sheetData sheetId="0" refreshError="1"/>
      <sheetData sheetId="1" refreshError="1">
        <row r="3">
          <cell r="A3" t="str">
            <v xml:space="preserve"> Chương: 622</v>
          </cell>
          <cell r="B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08"/>
  <sheetViews>
    <sheetView topLeftCell="A37" workbookViewId="0">
      <selection activeCell="D63" sqref="D63"/>
    </sheetView>
  </sheetViews>
  <sheetFormatPr defaultColWidth="9" defaultRowHeight="15.75"/>
  <cols>
    <col min="1" max="1" width="5.28515625" style="86" customWidth="1"/>
    <col min="2" max="2" width="65.5703125" style="83" customWidth="1"/>
    <col min="3" max="3" width="22.85546875" style="83" customWidth="1"/>
    <col min="4" max="16384" width="9" style="83"/>
  </cols>
  <sheetData>
    <row r="1" spans="1:3" ht="30" customHeight="1">
      <c r="A1" s="293" t="s">
        <v>50</v>
      </c>
      <c r="B1" s="294"/>
      <c r="C1" s="294"/>
    </row>
    <row r="2" spans="1:3" s="84" customFormat="1" ht="18.75">
      <c r="A2" s="297" t="s">
        <v>185</v>
      </c>
      <c r="B2" s="297"/>
    </row>
    <row r="3" spans="1:3" s="85" customFormat="1">
      <c r="A3" s="298" t="s">
        <v>48</v>
      </c>
      <c r="B3" s="298"/>
    </row>
    <row r="4" spans="1:3" ht="28.15" customHeight="1">
      <c r="A4" s="296" t="s">
        <v>350</v>
      </c>
      <c r="B4" s="296"/>
      <c r="C4" s="296"/>
    </row>
    <row r="5" spans="1:3">
      <c r="A5" s="299" t="s">
        <v>51</v>
      </c>
      <c r="B5" s="299"/>
      <c r="C5" s="299"/>
    </row>
    <row r="6" spans="1:3">
      <c r="A6" s="295" t="s">
        <v>24</v>
      </c>
      <c r="B6" s="295"/>
      <c r="C6" s="295"/>
    </row>
    <row r="7" spans="1:3">
      <c r="C7" s="87" t="s">
        <v>52</v>
      </c>
    </row>
    <row r="8" spans="1:3" s="90" customFormat="1" ht="31.5">
      <c r="A8" s="88" t="s">
        <v>10</v>
      </c>
      <c r="B8" s="89" t="s">
        <v>9</v>
      </c>
      <c r="C8" s="89" t="s">
        <v>12</v>
      </c>
    </row>
    <row r="9" spans="1:3" s="85" customFormat="1">
      <c r="A9" s="91" t="s">
        <v>1</v>
      </c>
      <c r="B9" s="92" t="s">
        <v>26</v>
      </c>
      <c r="C9" s="47">
        <f>C10</f>
        <v>204930000</v>
      </c>
    </row>
    <row r="10" spans="1:3">
      <c r="A10" s="93">
        <v>1</v>
      </c>
      <c r="B10" s="94" t="s">
        <v>27</v>
      </c>
      <c r="C10" s="38">
        <f>C12</f>
        <v>204930000</v>
      </c>
    </row>
    <row r="11" spans="1:3">
      <c r="A11" s="93" t="s">
        <v>28</v>
      </c>
      <c r="B11" s="94" t="s">
        <v>29</v>
      </c>
      <c r="C11" s="38"/>
    </row>
    <row r="12" spans="1:3">
      <c r="A12" s="93"/>
      <c r="B12" s="94" t="s">
        <v>351</v>
      </c>
      <c r="C12" s="95">
        <f>113250000+91680000</f>
        <v>204930000</v>
      </c>
    </row>
    <row r="13" spans="1:3">
      <c r="A13" s="93" t="s">
        <v>30</v>
      </c>
      <c r="B13" s="94" t="s">
        <v>31</v>
      </c>
      <c r="C13" s="38"/>
    </row>
    <row r="14" spans="1:3">
      <c r="A14" s="93">
        <v>2</v>
      </c>
      <c r="B14" s="94" t="s">
        <v>32</v>
      </c>
      <c r="C14" s="38"/>
    </row>
    <row r="15" spans="1:3">
      <c r="A15" s="93" t="s">
        <v>33</v>
      </c>
      <c r="B15" s="94" t="s">
        <v>60</v>
      </c>
      <c r="C15" s="38"/>
    </row>
    <row r="16" spans="1:3" s="99" customFormat="1">
      <c r="A16" s="96" t="s">
        <v>35</v>
      </c>
      <c r="B16" s="97" t="s">
        <v>54</v>
      </c>
      <c r="C16" s="98"/>
    </row>
    <row r="17" spans="1:3" s="99" customFormat="1">
      <c r="A17" s="96" t="s">
        <v>36</v>
      </c>
      <c r="B17" s="97" t="s">
        <v>37</v>
      </c>
      <c r="C17" s="98"/>
    </row>
    <row r="18" spans="1:3">
      <c r="A18" s="93" t="s">
        <v>38</v>
      </c>
      <c r="B18" s="94" t="s">
        <v>11</v>
      </c>
      <c r="C18" s="38"/>
    </row>
    <row r="19" spans="1:3" s="99" customFormat="1">
      <c r="A19" s="96" t="s">
        <v>35</v>
      </c>
      <c r="B19" s="97" t="s">
        <v>55</v>
      </c>
      <c r="C19" s="98">
        <f>SUM(C20:C23)</f>
        <v>204930000</v>
      </c>
    </row>
    <row r="20" spans="1:3">
      <c r="A20" s="93"/>
      <c r="B20" s="94" t="s">
        <v>59</v>
      </c>
      <c r="C20" s="38">
        <f>C12*40%</f>
        <v>81972000</v>
      </c>
    </row>
    <row r="21" spans="1:3">
      <c r="A21" s="93"/>
      <c r="B21" s="94" t="s">
        <v>56</v>
      </c>
      <c r="C21" s="38">
        <v>40986000</v>
      </c>
    </row>
    <row r="22" spans="1:3">
      <c r="A22" s="93"/>
      <c r="B22" s="94" t="s">
        <v>57</v>
      </c>
      <c r="C22" s="38">
        <v>50000000</v>
      </c>
    </row>
    <row r="23" spans="1:3">
      <c r="A23" s="93"/>
      <c r="B23" s="94" t="s">
        <v>58</v>
      </c>
      <c r="C23" s="38">
        <v>31972000</v>
      </c>
    </row>
    <row r="24" spans="1:3" s="99" customFormat="1">
      <c r="A24" s="96" t="s">
        <v>36</v>
      </c>
      <c r="B24" s="97" t="s">
        <v>40</v>
      </c>
      <c r="C24" s="98"/>
    </row>
    <row r="25" spans="1:3">
      <c r="A25" s="93">
        <v>3</v>
      </c>
      <c r="B25" s="94" t="s">
        <v>41</v>
      </c>
      <c r="C25" s="38"/>
    </row>
    <row r="26" spans="1:3">
      <c r="A26" s="93" t="s">
        <v>42</v>
      </c>
      <c r="B26" s="94" t="s">
        <v>29</v>
      </c>
      <c r="C26" s="38"/>
    </row>
    <row r="27" spans="1:3">
      <c r="A27" s="93" t="s">
        <v>43</v>
      </c>
      <c r="B27" s="94" t="s">
        <v>31</v>
      </c>
      <c r="C27" s="38"/>
    </row>
    <row r="28" spans="1:3" s="85" customFormat="1">
      <c r="A28" s="91" t="s">
        <v>5</v>
      </c>
      <c r="B28" s="92" t="s">
        <v>44</v>
      </c>
      <c r="C28" s="47">
        <f>C29</f>
        <v>6414216118</v>
      </c>
    </row>
    <row r="29" spans="1:3">
      <c r="A29" s="93">
        <v>1</v>
      </c>
      <c r="B29" s="94" t="s">
        <v>11</v>
      </c>
      <c r="C29" s="38">
        <f>C30+C35</f>
        <v>6414216118</v>
      </c>
    </row>
    <row r="30" spans="1:3">
      <c r="A30" s="93" t="s">
        <v>28</v>
      </c>
      <c r="B30" s="94" t="s">
        <v>39</v>
      </c>
      <c r="C30" s="98">
        <f>SUM(C31:C34)</f>
        <v>4922010518</v>
      </c>
    </row>
    <row r="31" spans="1:3" ht="15.75" customHeight="1">
      <c r="A31" s="93"/>
      <c r="B31" s="94" t="s">
        <v>59</v>
      </c>
      <c r="C31" s="38">
        <v>3848810518</v>
      </c>
    </row>
    <row r="32" spans="1:3">
      <c r="A32" s="93"/>
      <c r="B32" s="94" t="s">
        <v>62</v>
      </c>
      <c r="C32" s="38">
        <v>664054500</v>
      </c>
    </row>
    <row r="33" spans="1:3">
      <c r="A33" s="93"/>
      <c r="B33" s="94" t="s">
        <v>58</v>
      </c>
      <c r="C33" s="38">
        <v>117455500</v>
      </c>
    </row>
    <row r="34" spans="1:3">
      <c r="A34" s="93"/>
      <c r="B34" s="94" t="s">
        <v>61</v>
      </c>
      <c r="C34" s="38">
        <v>291690000</v>
      </c>
    </row>
    <row r="35" spans="1:3">
      <c r="A35" s="93" t="s">
        <v>30</v>
      </c>
      <c r="B35" s="94" t="s">
        <v>40</v>
      </c>
      <c r="C35" s="98">
        <f>SUM(C36:C39)</f>
        <v>1492205600</v>
      </c>
    </row>
    <row r="36" spans="1:3">
      <c r="A36" s="93"/>
      <c r="B36" s="94" t="s">
        <v>59</v>
      </c>
      <c r="C36" s="38">
        <v>906075600</v>
      </c>
    </row>
    <row r="37" spans="1:3">
      <c r="A37" s="93"/>
      <c r="B37" s="94" t="s">
        <v>63</v>
      </c>
      <c r="C37" s="38">
        <v>165000000</v>
      </c>
    </row>
    <row r="38" spans="1:3">
      <c r="A38" s="93"/>
      <c r="B38" s="94" t="s">
        <v>85</v>
      </c>
      <c r="C38" s="38">
        <v>350000000</v>
      </c>
    </row>
    <row r="39" spans="1:3">
      <c r="A39" s="93"/>
      <c r="B39" s="94" t="s">
        <v>58</v>
      </c>
      <c r="C39" s="38">
        <v>71130000</v>
      </c>
    </row>
    <row r="40" spans="1:3" ht="15.75" customHeight="1">
      <c r="A40" s="91" t="s">
        <v>64</v>
      </c>
      <c r="B40" s="92" t="s">
        <v>65</v>
      </c>
      <c r="C40" s="47">
        <f>SUM(C41:C52)</f>
        <v>370252500</v>
      </c>
    </row>
    <row r="41" spans="1:3">
      <c r="A41" s="93">
        <v>1</v>
      </c>
      <c r="B41" s="94" t="s">
        <v>66</v>
      </c>
      <c r="C41" s="38"/>
    </row>
    <row r="42" spans="1:3" ht="15.75" customHeight="1">
      <c r="A42" s="93">
        <v>2</v>
      </c>
      <c r="B42" s="94" t="s">
        <v>67</v>
      </c>
      <c r="C42" s="38">
        <v>2427000</v>
      </c>
    </row>
    <row r="43" spans="1:3" ht="15.75" customHeight="1">
      <c r="A43" s="93">
        <v>3</v>
      </c>
      <c r="B43" s="94" t="s">
        <v>68</v>
      </c>
      <c r="C43" s="38">
        <f>3820000</f>
        <v>3820000</v>
      </c>
    </row>
    <row r="44" spans="1:3" ht="15.75" customHeight="1">
      <c r="A44" s="93">
        <v>4</v>
      </c>
      <c r="B44" s="94" t="s">
        <v>69</v>
      </c>
      <c r="C44" s="38">
        <f>382*10000*4</f>
        <v>15280000</v>
      </c>
    </row>
    <row r="45" spans="1:3" ht="15.75" customHeight="1">
      <c r="A45" s="93">
        <v>5</v>
      </c>
      <c r="B45" s="94" t="s">
        <v>70</v>
      </c>
      <c r="C45" s="38">
        <v>112050000</v>
      </c>
    </row>
    <row r="46" spans="1:3" ht="15.75" customHeight="1">
      <c r="A46" s="93">
        <v>6</v>
      </c>
      <c r="B46" s="94" t="s">
        <v>71</v>
      </c>
      <c r="C46" s="38">
        <v>39819500</v>
      </c>
    </row>
    <row r="47" spans="1:3" ht="15.75" customHeight="1">
      <c r="A47" s="93">
        <v>7</v>
      </c>
      <c r="B47" s="94" t="s">
        <v>72</v>
      </c>
      <c r="C47" s="38">
        <v>56918000</v>
      </c>
    </row>
    <row r="48" spans="1:3" ht="15.75" customHeight="1">
      <c r="A48" s="93">
        <v>8</v>
      </c>
      <c r="B48" s="94" t="s">
        <v>73</v>
      </c>
      <c r="C48" s="38">
        <v>105084000</v>
      </c>
    </row>
    <row r="49" spans="1:3" ht="15.75" customHeight="1">
      <c r="A49" s="93">
        <v>9</v>
      </c>
      <c r="B49" s="94" t="s">
        <v>74</v>
      </c>
      <c r="C49" s="38">
        <v>26740000</v>
      </c>
    </row>
    <row r="50" spans="1:3">
      <c r="A50" s="93">
        <v>10</v>
      </c>
      <c r="B50" s="94" t="s">
        <v>75</v>
      </c>
      <c r="C50" s="38">
        <v>8114000</v>
      </c>
    </row>
    <row r="51" spans="1:3" hidden="1">
      <c r="A51" s="93">
        <v>11</v>
      </c>
      <c r="B51" s="94" t="s">
        <v>76</v>
      </c>
      <c r="C51" s="38">
        <v>0</v>
      </c>
    </row>
    <row r="52" spans="1:3" ht="15.75" hidden="1" customHeight="1">
      <c r="A52" s="93">
        <v>12</v>
      </c>
      <c r="B52" s="94" t="s">
        <v>77</v>
      </c>
      <c r="C52" s="38">
        <v>0</v>
      </c>
    </row>
    <row r="53" spans="1:3">
      <c r="A53" s="91" t="s">
        <v>78</v>
      </c>
      <c r="B53" s="92" t="s">
        <v>79</v>
      </c>
      <c r="C53" s="47">
        <f>SUM(C54:C57)</f>
        <v>63125000</v>
      </c>
    </row>
    <row r="54" spans="1:3">
      <c r="A54" s="93">
        <v>1</v>
      </c>
      <c r="B54" s="94" t="s">
        <v>81</v>
      </c>
      <c r="C54" s="38">
        <v>0</v>
      </c>
    </row>
    <row r="55" spans="1:3">
      <c r="A55" s="93">
        <v>2</v>
      </c>
      <c r="B55" s="94" t="s">
        <v>82</v>
      </c>
      <c r="C55" s="38">
        <v>45000000</v>
      </c>
    </row>
    <row r="56" spans="1:3">
      <c r="A56" s="93">
        <v>3</v>
      </c>
      <c r="B56" s="94" t="s">
        <v>83</v>
      </c>
      <c r="C56" s="38">
        <v>0</v>
      </c>
    </row>
    <row r="57" spans="1:3">
      <c r="A57" s="93">
        <v>4</v>
      </c>
      <c r="B57" s="94" t="s">
        <v>80</v>
      </c>
      <c r="C57" s="38">
        <v>18125000</v>
      </c>
    </row>
    <row r="59" spans="1:3">
      <c r="B59" s="300" t="s">
        <v>332</v>
      </c>
      <c r="C59" s="300"/>
    </row>
    <row r="60" spans="1:3">
      <c r="A60" s="292" t="s">
        <v>84</v>
      </c>
      <c r="B60" s="292"/>
      <c r="C60" s="292"/>
    </row>
    <row r="105" spans="1:1">
      <c r="A105" s="83"/>
    </row>
    <row r="108" spans="1:1">
      <c r="A108" s="83"/>
    </row>
  </sheetData>
  <mergeCells count="8">
    <mergeCell ref="A60:C60"/>
    <mergeCell ref="A1:C1"/>
    <mergeCell ref="A6:C6"/>
    <mergeCell ref="A4:C4"/>
    <mergeCell ref="A2:B2"/>
    <mergeCell ref="A3:B3"/>
    <mergeCell ref="A5:C5"/>
    <mergeCell ref="B59:C59"/>
  </mergeCells>
  <pageMargins left="0.51181102362204722" right="0.11811023622047245" top="0.70866141732283472" bottom="0.55118110236220474"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39"/>
  <sheetViews>
    <sheetView topLeftCell="A117" workbookViewId="0">
      <selection activeCell="O10" sqref="O10"/>
    </sheetView>
  </sheetViews>
  <sheetFormatPr defaultColWidth="8.85546875" defaultRowHeight="18.75"/>
  <cols>
    <col min="1" max="1" width="7.140625" style="7" customWidth="1"/>
    <col min="2" max="2" width="38.5703125" style="7" customWidth="1"/>
    <col min="3" max="3" width="15" style="7" customWidth="1"/>
    <col min="4" max="4" width="13.85546875" style="7" customWidth="1"/>
    <col min="5" max="5" width="11" style="7" customWidth="1"/>
    <col min="6" max="6" width="11.7109375" style="7" customWidth="1"/>
    <col min="7" max="7" width="10.42578125" style="185" hidden="1" customWidth="1"/>
    <col min="8" max="8" width="5.140625" style="7" hidden="1" customWidth="1"/>
    <col min="9" max="9" width="36.5703125" style="7" hidden="1" customWidth="1"/>
    <col min="10" max="10" width="13.5703125" style="7" hidden="1" customWidth="1"/>
    <col min="11" max="11" width="8.85546875" style="7" hidden="1" customWidth="1"/>
    <col min="12" max="12" width="13" style="7" hidden="1" customWidth="1"/>
    <col min="13" max="16384" width="8.85546875" style="7"/>
  </cols>
  <sheetData>
    <row r="1" spans="1:15" ht="30.6" customHeight="1">
      <c r="A1" s="357" t="str">
        <f>'[1]Bieu 2'!A2:B2</f>
        <v>Trường THCS Mỹ Phước</v>
      </c>
      <c r="B1" s="357"/>
      <c r="C1" s="319" t="s">
        <v>86</v>
      </c>
      <c r="D1" s="319"/>
      <c r="E1" s="319"/>
      <c r="F1" s="355"/>
      <c r="G1" s="302" t="s">
        <v>186</v>
      </c>
      <c r="H1" s="303"/>
      <c r="I1" s="304"/>
      <c r="J1" s="100" t="e">
        <f>J2+J42+J88</f>
        <v>#REF!</v>
      </c>
      <c r="M1" s="360"/>
      <c r="N1" s="360"/>
      <c r="O1" s="360"/>
    </row>
    <row r="2" spans="1:15">
      <c r="A2" s="320" t="str">
        <f>'[1]Bieu 2'!A3:B3</f>
        <v xml:space="preserve"> Chương: 622</v>
      </c>
      <c r="B2" s="320"/>
      <c r="C2" s="319"/>
      <c r="D2" s="319"/>
      <c r="E2" s="319"/>
      <c r="F2" s="355"/>
      <c r="G2" s="101" t="s">
        <v>1</v>
      </c>
      <c r="H2" s="305" t="s">
        <v>187</v>
      </c>
      <c r="I2" s="305"/>
      <c r="J2" s="102" t="e">
        <f>#REF!+J5+J6+J14</f>
        <v>#REF!</v>
      </c>
      <c r="M2" s="360"/>
      <c r="N2" s="360"/>
      <c r="O2" s="360"/>
    </row>
    <row r="3" spans="1:15" ht="27" customHeight="1">
      <c r="A3" s="358" t="s">
        <v>338</v>
      </c>
      <c r="B3" s="358"/>
      <c r="C3" s="358"/>
      <c r="D3" s="358"/>
      <c r="E3" s="358"/>
      <c r="F3" s="359"/>
      <c r="G3" s="106"/>
      <c r="H3" s="107">
        <v>6001</v>
      </c>
      <c r="I3" s="108" t="s">
        <v>188</v>
      </c>
      <c r="J3" s="109">
        <f>90.31*1300000*12</f>
        <v>1408836000</v>
      </c>
      <c r="M3" s="360"/>
      <c r="N3" s="360"/>
      <c r="O3" s="360"/>
    </row>
    <row r="4" spans="1:15">
      <c r="A4" s="311" t="s">
        <v>7</v>
      </c>
      <c r="B4" s="311"/>
      <c r="C4" s="311"/>
      <c r="D4" s="311"/>
      <c r="E4" s="311"/>
      <c r="F4" s="311"/>
      <c r="G4" s="106"/>
      <c r="H4" s="107">
        <v>6003</v>
      </c>
      <c r="I4" s="108" t="s">
        <v>189</v>
      </c>
      <c r="J4" s="109">
        <f>57.07*1300000*12</f>
        <v>890292000</v>
      </c>
    </row>
    <row r="5" spans="1:15">
      <c r="A5" s="311" t="s">
        <v>20</v>
      </c>
      <c r="B5" s="311"/>
      <c r="C5" s="311"/>
      <c r="D5" s="311"/>
      <c r="E5" s="311"/>
      <c r="F5" s="311"/>
      <c r="G5" s="106"/>
      <c r="H5" s="103"/>
      <c r="I5" s="110" t="s">
        <v>190</v>
      </c>
      <c r="J5" s="111">
        <v>70580000</v>
      </c>
    </row>
    <row r="6" spans="1:15">
      <c r="A6" s="80"/>
      <c r="B6" s="80"/>
      <c r="C6" s="80"/>
      <c r="D6" s="80"/>
      <c r="E6" s="312" t="s">
        <v>87</v>
      </c>
      <c r="F6" s="312"/>
      <c r="G6" s="106">
        <v>6100</v>
      </c>
      <c r="H6" s="112"/>
      <c r="I6" s="104" t="s">
        <v>93</v>
      </c>
      <c r="J6" s="113">
        <f>SUM(J7:J13)</f>
        <v>858146640</v>
      </c>
    </row>
    <row r="7" spans="1:15" ht="21.75" customHeight="1">
      <c r="A7" s="313" t="s">
        <v>10</v>
      </c>
      <c r="B7" s="315" t="s">
        <v>9</v>
      </c>
      <c r="C7" s="313" t="s">
        <v>25</v>
      </c>
      <c r="D7" s="313" t="s">
        <v>339</v>
      </c>
      <c r="E7" s="317" t="s">
        <v>21</v>
      </c>
      <c r="F7" s="318"/>
      <c r="G7" s="106"/>
      <c r="H7" s="107">
        <v>6101</v>
      </c>
      <c r="I7" s="114" t="s">
        <v>191</v>
      </c>
      <c r="J7" s="109">
        <f>2.95*1300000*12</f>
        <v>46020000</v>
      </c>
    </row>
    <row r="8" spans="1:15" ht="34.5" customHeight="1">
      <c r="A8" s="314"/>
      <c r="B8" s="314"/>
      <c r="C8" s="316"/>
      <c r="D8" s="316"/>
      <c r="E8" s="8" t="s">
        <v>22</v>
      </c>
      <c r="F8" s="197" t="s">
        <v>23</v>
      </c>
      <c r="G8" s="106"/>
      <c r="H8" s="107">
        <v>6107</v>
      </c>
      <c r="I8" s="114" t="s">
        <v>192</v>
      </c>
      <c r="J8" s="109">
        <f>0.4*1300000*12</f>
        <v>6240000</v>
      </c>
    </row>
    <row r="9" spans="1:15" s="117" customFormat="1" ht="36.6" customHeight="1">
      <c r="A9" s="8" t="s">
        <v>1</v>
      </c>
      <c r="B9" s="115" t="s">
        <v>26</v>
      </c>
      <c r="C9" s="20">
        <f>C10</f>
        <v>204930000</v>
      </c>
      <c r="D9" s="20">
        <f t="shared" ref="D9:E9" si="0">D10</f>
        <v>65764925</v>
      </c>
      <c r="E9" s="48">
        <f t="shared" si="0"/>
        <v>0.32091409261699116</v>
      </c>
      <c r="F9" s="116"/>
      <c r="G9" s="106"/>
      <c r="H9" s="107">
        <v>6112</v>
      </c>
      <c r="I9" s="114" t="s">
        <v>193</v>
      </c>
      <c r="J9" s="109">
        <f>32.207*1300000*12</f>
        <v>502429200</v>
      </c>
    </row>
    <row r="10" spans="1:15" ht="16.899999999999999" customHeight="1">
      <c r="A10" s="10">
        <v>1</v>
      </c>
      <c r="B10" s="5" t="s">
        <v>27</v>
      </c>
      <c r="C10" s="11">
        <f>C12</f>
        <v>204930000</v>
      </c>
      <c r="D10" s="11">
        <f>D12</f>
        <v>65764925</v>
      </c>
      <c r="E10" s="12">
        <f>E12</f>
        <v>0.32091409261699116</v>
      </c>
      <c r="F10" s="13"/>
      <c r="G10" s="106"/>
      <c r="H10" s="107">
        <v>6113</v>
      </c>
      <c r="I10" s="114" t="s">
        <v>194</v>
      </c>
      <c r="J10" s="109">
        <f>0.1*1300000*12</f>
        <v>1560000</v>
      </c>
      <c r="L10" s="118" t="e">
        <f>J1-C26</f>
        <v>#REF!</v>
      </c>
    </row>
    <row r="11" spans="1:15" ht="16.899999999999999" customHeight="1">
      <c r="A11" s="4" t="s">
        <v>28</v>
      </c>
      <c r="B11" s="5" t="s">
        <v>29</v>
      </c>
      <c r="C11" s="11"/>
      <c r="D11" s="13"/>
      <c r="E11" s="14"/>
      <c r="F11" s="13"/>
      <c r="G11" s="106"/>
      <c r="H11" s="107">
        <v>6113</v>
      </c>
      <c r="I11" s="114" t="s">
        <v>195</v>
      </c>
      <c r="J11" s="109">
        <f>0.3*1300000*12</f>
        <v>4680000</v>
      </c>
    </row>
    <row r="12" spans="1:15" ht="16.899999999999999" customHeight="1">
      <c r="A12" s="4"/>
      <c r="B12" s="5" t="s">
        <v>53</v>
      </c>
      <c r="C12" s="15">
        <f>'[1]Bieu 2'!C12</f>
        <v>204930000</v>
      </c>
      <c r="D12" s="73">
        <f>'Bieu 4'!C14</f>
        <v>65764925</v>
      </c>
      <c r="E12" s="17">
        <f>D12/C12*100%</f>
        <v>0.32091409261699116</v>
      </c>
      <c r="F12" s="17"/>
      <c r="G12" s="106"/>
      <c r="H12" s="107">
        <v>6115</v>
      </c>
      <c r="I12" s="114" t="s">
        <v>196</v>
      </c>
      <c r="J12" s="109">
        <f>18.654*1300000*12</f>
        <v>291002400</v>
      </c>
    </row>
    <row r="13" spans="1:15" ht="16.899999999999999" customHeight="1">
      <c r="A13" s="4" t="s">
        <v>30</v>
      </c>
      <c r="B13" s="5" t="s">
        <v>31</v>
      </c>
      <c r="C13" s="15"/>
      <c r="D13" s="16"/>
      <c r="E13" s="16"/>
      <c r="F13" s="16"/>
      <c r="G13" s="106"/>
      <c r="H13" s="107">
        <v>6117</v>
      </c>
      <c r="I13" s="114" t="s">
        <v>197</v>
      </c>
      <c r="J13" s="109">
        <f>0.3984*1300000*12</f>
        <v>6215039.9999999991</v>
      </c>
    </row>
    <row r="14" spans="1:15" ht="16.899999999999999" customHeight="1">
      <c r="A14" s="10">
        <v>2</v>
      </c>
      <c r="B14" s="5" t="s">
        <v>32</v>
      </c>
      <c r="C14" s="15"/>
      <c r="D14" s="16"/>
      <c r="E14" s="16"/>
      <c r="F14" s="16"/>
      <c r="G14" s="106">
        <v>6300</v>
      </c>
      <c r="H14" s="107"/>
      <c r="I14" s="104" t="s">
        <v>100</v>
      </c>
      <c r="J14" s="105">
        <f>SUM(J15:J18)</f>
        <v>620955878.39999998</v>
      </c>
    </row>
    <row r="15" spans="1:15" ht="16.899999999999999" hidden="1" customHeight="1">
      <c r="A15" s="4" t="s">
        <v>33</v>
      </c>
      <c r="B15" s="5" t="s">
        <v>34</v>
      </c>
      <c r="C15" s="15"/>
      <c r="D15" s="16"/>
      <c r="E15" s="16"/>
      <c r="F15" s="16"/>
      <c r="G15" s="106"/>
      <c r="H15" s="107">
        <v>6301</v>
      </c>
      <c r="I15" s="114" t="s">
        <v>198</v>
      </c>
      <c r="J15" s="109">
        <f>(J3+J4+J7+J12+J13)*17.5%</f>
        <v>462413952</v>
      </c>
    </row>
    <row r="16" spans="1:15" ht="16.899999999999999" hidden="1" customHeight="1">
      <c r="A16" s="4" t="s">
        <v>35</v>
      </c>
      <c r="B16" s="5" t="s">
        <v>54</v>
      </c>
      <c r="C16" s="15"/>
      <c r="D16" s="16"/>
      <c r="E16" s="16"/>
      <c r="F16" s="16"/>
      <c r="G16" s="106"/>
      <c r="H16" s="107">
        <v>6302</v>
      </c>
      <c r="I16" s="114" t="s">
        <v>199</v>
      </c>
      <c r="J16" s="109">
        <f>J15/17.5%*3%</f>
        <v>79270963.200000003</v>
      </c>
    </row>
    <row r="17" spans="1:11" ht="16.899999999999999" hidden="1" customHeight="1">
      <c r="A17" s="4" t="s">
        <v>36</v>
      </c>
      <c r="B17" s="5" t="s">
        <v>37</v>
      </c>
      <c r="C17" s="15"/>
      <c r="D17" s="16"/>
      <c r="E17" s="16"/>
      <c r="F17" s="16"/>
      <c r="G17" s="106"/>
      <c r="H17" s="107">
        <v>6303</v>
      </c>
      <c r="I17" s="114" t="s">
        <v>200</v>
      </c>
      <c r="J17" s="109">
        <f>J15/17.5%*2%</f>
        <v>52847308.800000004</v>
      </c>
    </row>
    <row r="18" spans="1:11" ht="16.899999999999999" hidden="1" customHeight="1">
      <c r="A18" s="4" t="s">
        <v>38</v>
      </c>
      <c r="B18" s="5" t="s">
        <v>11</v>
      </c>
      <c r="C18" s="15"/>
      <c r="D18" s="16"/>
      <c r="E18" s="16"/>
      <c r="F18" s="16"/>
      <c r="G18" s="106"/>
      <c r="H18" s="107">
        <v>6349</v>
      </c>
      <c r="I18" s="114" t="s">
        <v>201</v>
      </c>
      <c r="J18" s="109">
        <f>J17/2</f>
        <v>26423654.400000002</v>
      </c>
    </row>
    <row r="19" spans="1:11" ht="16.899999999999999" hidden="1" customHeight="1">
      <c r="A19" s="4" t="s">
        <v>35</v>
      </c>
      <c r="B19" s="18" t="s">
        <v>39</v>
      </c>
      <c r="C19" s="15"/>
      <c r="D19" s="16"/>
      <c r="E19" s="16"/>
      <c r="F19" s="16"/>
      <c r="G19" s="106"/>
      <c r="H19" s="107"/>
      <c r="I19" s="114"/>
      <c r="J19" s="109"/>
    </row>
    <row r="20" spans="1:11" ht="16.899999999999999" hidden="1" customHeight="1">
      <c r="A20" s="4" t="s">
        <v>36</v>
      </c>
      <c r="B20" s="5" t="s">
        <v>40</v>
      </c>
      <c r="C20" s="15"/>
      <c r="D20" s="16"/>
      <c r="E20" s="16"/>
      <c r="F20" s="16"/>
      <c r="G20" s="106"/>
      <c r="H20" s="107"/>
      <c r="I20" s="114"/>
      <c r="J20" s="109"/>
    </row>
    <row r="21" spans="1:11" ht="16.899999999999999" customHeight="1">
      <c r="A21" s="10">
        <v>3</v>
      </c>
      <c r="B21" s="5" t="s">
        <v>41</v>
      </c>
      <c r="C21" s="15"/>
      <c r="D21" s="16"/>
      <c r="E21" s="16"/>
      <c r="F21" s="16"/>
      <c r="G21" s="106"/>
      <c r="H21" s="107"/>
      <c r="I21" s="114"/>
      <c r="J21" s="109"/>
    </row>
    <row r="22" spans="1:11" ht="16.899999999999999" hidden="1" customHeight="1">
      <c r="A22" s="4" t="s">
        <v>42</v>
      </c>
      <c r="B22" s="5" t="s">
        <v>29</v>
      </c>
      <c r="C22" s="16"/>
      <c r="D22" s="16"/>
      <c r="E22" s="16"/>
      <c r="F22" s="16"/>
      <c r="G22" s="106"/>
      <c r="H22" s="107"/>
      <c r="I22" s="114"/>
      <c r="J22" s="109"/>
    </row>
    <row r="23" spans="1:11" ht="16.899999999999999" hidden="1" customHeight="1">
      <c r="A23" s="4" t="s">
        <v>43</v>
      </c>
      <c r="B23" s="5" t="s">
        <v>31</v>
      </c>
      <c r="C23" s="15"/>
      <c r="D23" s="16"/>
      <c r="E23" s="16"/>
      <c r="F23" s="16"/>
      <c r="G23" s="106"/>
      <c r="H23" s="107"/>
      <c r="I23" s="114"/>
      <c r="J23" s="109"/>
    </row>
    <row r="24" spans="1:11" s="81" customFormat="1" ht="16.899999999999999" customHeight="1">
      <c r="A24" s="9" t="s">
        <v>5</v>
      </c>
      <c r="B24" s="3" t="s">
        <v>44</v>
      </c>
      <c r="C24" s="19"/>
      <c r="D24" s="20"/>
      <c r="E24" s="20"/>
      <c r="F24" s="20"/>
      <c r="G24" s="106"/>
      <c r="H24" s="107"/>
      <c r="I24" s="114"/>
      <c r="J24" s="109"/>
      <c r="K24" s="7"/>
    </row>
    <row r="25" spans="1:11" ht="16.899999999999999" customHeight="1">
      <c r="A25" s="10">
        <v>1</v>
      </c>
      <c r="B25" s="5" t="s">
        <v>11</v>
      </c>
      <c r="C25" s="15"/>
      <c r="D25" s="16"/>
      <c r="E25" s="16"/>
      <c r="F25" s="16"/>
      <c r="G25" s="106"/>
      <c r="H25" s="107"/>
      <c r="I25" s="114"/>
      <c r="J25" s="109"/>
    </row>
    <row r="26" spans="1:11" s="25" customFormat="1" ht="16.899999999999999" customHeight="1">
      <c r="A26" s="21" t="s">
        <v>28</v>
      </c>
      <c r="B26" s="22" t="s">
        <v>39</v>
      </c>
      <c r="C26" s="23">
        <f>C27+C44+C89</f>
        <v>4922010518.3999996</v>
      </c>
      <c r="D26" s="24">
        <f>'Bieu 4'!D65</f>
        <v>1137020291</v>
      </c>
      <c r="E26" s="186">
        <f>D26/C26*100%</f>
        <v>0.23100728589454778</v>
      </c>
      <c r="F26" s="24"/>
      <c r="G26" s="106"/>
      <c r="H26" s="107"/>
      <c r="I26" s="114"/>
      <c r="J26" s="109"/>
      <c r="K26" s="7"/>
    </row>
    <row r="27" spans="1:11" ht="16.899999999999999" customHeight="1">
      <c r="A27" s="26"/>
      <c r="B27" s="27" t="s">
        <v>88</v>
      </c>
      <c r="C27" s="28">
        <f>C28+C32+C39+C31</f>
        <v>3848810518.4000001</v>
      </c>
      <c r="D27" s="16"/>
      <c r="E27" s="17"/>
      <c r="F27" s="16"/>
      <c r="G27" s="106"/>
      <c r="H27" s="107"/>
      <c r="I27" s="114"/>
      <c r="J27" s="109"/>
    </row>
    <row r="28" spans="1:11" s="35" customFormat="1" ht="16.899999999999999" customHeight="1">
      <c r="A28" s="29">
        <v>6000</v>
      </c>
      <c r="B28" s="30" t="s">
        <v>89</v>
      </c>
      <c r="C28" s="31">
        <f>C29+C30</f>
        <v>2299128000</v>
      </c>
      <c r="D28" s="32"/>
      <c r="E28" s="33"/>
      <c r="F28" s="32"/>
      <c r="G28" s="106"/>
      <c r="H28" s="107"/>
      <c r="I28" s="114"/>
      <c r="J28" s="109"/>
      <c r="K28" s="7"/>
    </row>
    <row r="29" spans="1:11" ht="16.899999999999999" customHeight="1">
      <c r="A29" s="36">
        <v>6001</v>
      </c>
      <c r="B29" s="37" t="s">
        <v>90</v>
      </c>
      <c r="C29" s="38">
        <f>J3</f>
        <v>1408836000</v>
      </c>
      <c r="D29" s="16"/>
      <c r="E29" s="17"/>
      <c r="F29" s="16"/>
      <c r="G29" s="106"/>
      <c r="H29" s="107"/>
      <c r="I29" s="114"/>
      <c r="J29" s="109"/>
    </row>
    <row r="30" spans="1:11" ht="16.899999999999999" customHeight="1">
      <c r="A30" s="39">
        <v>6003</v>
      </c>
      <c r="B30" s="37" t="s">
        <v>91</v>
      </c>
      <c r="C30" s="38">
        <f>J4</f>
        <v>890292000</v>
      </c>
      <c r="D30" s="16"/>
      <c r="E30" s="17"/>
      <c r="F30" s="16"/>
      <c r="G30" s="106"/>
      <c r="H30" s="107"/>
      <c r="I30" s="114"/>
      <c r="J30" s="109"/>
    </row>
    <row r="31" spans="1:11" ht="16.899999999999999" customHeight="1">
      <c r="A31" s="40"/>
      <c r="B31" s="37" t="s">
        <v>92</v>
      </c>
      <c r="C31" s="41">
        <f>J5</f>
        <v>70580000</v>
      </c>
      <c r="D31" s="16"/>
      <c r="E31" s="17"/>
      <c r="F31" s="16"/>
      <c r="G31" s="106"/>
      <c r="H31" s="107"/>
      <c r="I31" s="114"/>
      <c r="J31" s="109"/>
    </row>
    <row r="32" spans="1:11" s="35" customFormat="1" ht="16.899999999999999" customHeight="1">
      <c r="A32" s="42">
        <v>6100</v>
      </c>
      <c r="B32" s="43" t="s">
        <v>93</v>
      </c>
      <c r="C32" s="31">
        <f>SUM(C33:C38)</f>
        <v>858146640</v>
      </c>
      <c r="D32" s="32"/>
      <c r="E32" s="33"/>
      <c r="F32" s="32"/>
      <c r="G32" s="106"/>
      <c r="H32" s="107"/>
      <c r="I32" s="114"/>
      <c r="J32" s="109"/>
      <c r="K32" s="7"/>
    </row>
    <row r="33" spans="1:12" ht="16.899999999999999" customHeight="1">
      <c r="A33" s="36">
        <v>6101</v>
      </c>
      <c r="B33" s="37" t="s">
        <v>94</v>
      </c>
      <c r="C33" s="44">
        <f>J7</f>
        <v>46020000</v>
      </c>
      <c r="D33" s="16"/>
      <c r="E33" s="17"/>
      <c r="F33" s="16"/>
      <c r="G33" s="106"/>
      <c r="H33" s="107"/>
      <c r="I33" s="114"/>
      <c r="J33" s="109"/>
    </row>
    <row r="34" spans="1:12" ht="16.899999999999999" customHeight="1">
      <c r="A34" s="36">
        <v>6107</v>
      </c>
      <c r="B34" s="37" t="s">
        <v>95</v>
      </c>
      <c r="C34" s="44">
        <f>J8</f>
        <v>6240000</v>
      </c>
      <c r="D34" s="16"/>
      <c r="E34" s="17"/>
      <c r="F34" s="16"/>
      <c r="G34" s="106"/>
      <c r="H34" s="107"/>
      <c r="I34" s="114"/>
      <c r="J34" s="109"/>
    </row>
    <row r="35" spans="1:12" ht="16.899999999999999" customHeight="1">
      <c r="A35" s="39">
        <v>6112</v>
      </c>
      <c r="B35" s="37" t="s">
        <v>96</v>
      </c>
      <c r="C35" s="38">
        <f>J9</f>
        <v>502429200</v>
      </c>
      <c r="D35" s="16"/>
      <c r="E35" s="17"/>
      <c r="F35" s="16"/>
      <c r="G35" s="106"/>
      <c r="H35" s="107"/>
      <c r="I35" s="114"/>
      <c r="J35" s="109"/>
    </row>
    <row r="36" spans="1:12" ht="16.899999999999999" customHeight="1">
      <c r="A36" s="39">
        <v>6113</v>
      </c>
      <c r="B36" s="37" t="s">
        <v>97</v>
      </c>
      <c r="C36" s="44">
        <f>J10+J11</f>
        <v>6240000</v>
      </c>
      <c r="D36" s="16"/>
      <c r="E36" s="17"/>
      <c r="F36" s="16"/>
      <c r="G36" s="106"/>
      <c r="H36" s="107"/>
      <c r="I36" s="114"/>
      <c r="J36" s="109"/>
    </row>
    <row r="37" spans="1:12" ht="16.899999999999999" customHeight="1">
      <c r="A37" s="39">
        <v>6115</v>
      </c>
      <c r="B37" s="37" t="s">
        <v>98</v>
      </c>
      <c r="C37" s="44">
        <f>J12</f>
        <v>291002400</v>
      </c>
      <c r="D37" s="16"/>
      <c r="E37" s="17"/>
      <c r="F37" s="16"/>
      <c r="G37" s="106"/>
      <c r="H37" s="107"/>
      <c r="I37" s="114"/>
      <c r="J37" s="109"/>
    </row>
    <row r="38" spans="1:12" ht="16.899999999999999" customHeight="1">
      <c r="A38" s="36">
        <v>6117</v>
      </c>
      <c r="B38" s="37" t="s">
        <v>99</v>
      </c>
      <c r="C38" s="44">
        <f>J13</f>
        <v>6215039.9999999991</v>
      </c>
      <c r="D38" s="16"/>
      <c r="E38" s="17"/>
      <c r="F38" s="16"/>
      <c r="G38" s="106">
        <v>6400</v>
      </c>
      <c r="H38" s="107"/>
      <c r="I38" s="104" t="s">
        <v>202</v>
      </c>
      <c r="J38" s="105">
        <f>SUM(J39:J41)</f>
        <v>291690000</v>
      </c>
      <c r="L38" s="118"/>
    </row>
    <row r="39" spans="1:12" s="35" customFormat="1" ht="16.899999999999999" customHeight="1">
      <c r="A39" s="42">
        <v>6300</v>
      </c>
      <c r="B39" s="43" t="s">
        <v>100</v>
      </c>
      <c r="C39" s="31">
        <f>SUM(C40:C43)</f>
        <v>620955878.39999998</v>
      </c>
      <c r="D39" s="32"/>
      <c r="E39" s="33"/>
      <c r="F39" s="32"/>
      <c r="G39" s="106"/>
      <c r="H39" s="107">
        <v>6404</v>
      </c>
      <c r="I39" s="114" t="s">
        <v>203</v>
      </c>
      <c r="J39" s="109">
        <v>190800000</v>
      </c>
      <c r="K39" s="7"/>
    </row>
    <row r="40" spans="1:12" ht="16.899999999999999" customHeight="1">
      <c r="A40" s="36">
        <v>6301</v>
      </c>
      <c r="B40" s="37" t="s">
        <v>101</v>
      </c>
      <c r="C40" s="38">
        <f>J15</f>
        <v>462413952</v>
      </c>
      <c r="D40" s="16"/>
      <c r="E40" s="17"/>
      <c r="F40" s="16"/>
      <c r="G40" s="106"/>
      <c r="H40" s="107">
        <v>6449</v>
      </c>
      <c r="I40" s="114" t="s">
        <v>204</v>
      </c>
      <c r="J40" s="109">
        <v>10890000</v>
      </c>
    </row>
    <row r="41" spans="1:12" ht="16.899999999999999" customHeight="1">
      <c r="A41" s="36">
        <v>6302</v>
      </c>
      <c r="B41" s="37" t="s">
        <v>102</v>
      </c>
      <c r="C41" s="38">
        <f>J16</f>
        <v>79270963.200000003</v>
      </c>
      <c r="D41" s="16"/>
      <c r="E41" s="17"/>
      <c r="F41" s="16"/>
      <c r="G41" s="106"/>
      <c r="H41" s="107">
        <v>6449</v>
      </c>
      <c r="I41" s="114" t="s">
        <v>205</v>
      </c>
      <c r="J41" s="109">
        <v>90000000</v>
      </c>
    </row>
    <row r="42" spans="1:12" ht="16.899999999999999" customHeight="1">
      <c r="A42" s="36">
        <v>6303</v>
      </c>
      <c r="B42" s="37" t="s">
        <v>103</v>
      </c>
      <c r="C42" s="38">
        <f>J17</f>
        <v>52847308.800000004</v>
      </c>
      <c r="D42" s="16"/>
      <c r="E42" s="17"/>
      <c r="F42" s="16"/>
      <c r="G42" s="119" t="s">
        <v>5</v>
      </c>
      <c r="H42" s="120"/>
      <c r="I42" s="121" t="s">
        <v>206</v>
      </c>
      <c r="J42" s="122">
        <f>J43+J47+J57+J62+J67+J72+J78+J80+J38</f>
        <v>955744500</v>
      </c>
    </row>
    <row r="43" spans="1:12" ht="16.899999999999999" customHeight="1">
      <c r="A43" s="36">
        <v>6304</v>
      </c>
      <c r="B43" s="37" t="s">
        <v>104</v>
      </c>
      <c r="C43" s="38">
        <f>J18</f>
        <v>26423654.400000002</v>
      </c>
      <c r="D43" s="16"/>
      <c r="E43" s="17"/>
      <c r="F43" s="16"/>
      <c r="G43" s="123">
        <v>6500</v>
      </c>
      <c r="H43" s="124"/>
      <c r="I43" s="125" t="s">
        <v>207</v>
      </c>
      <c r="J43" s="126">
        <f t="shared" ref="J43" si="1">J44+J46+J45</f>
        <v>85200000</v>
      </c>
      <c r="K43" s="81"/>
    </row>
    <row r="44" spans="1:12" s="81" customFormat="1" ht="16.899999999999999" customHeight="1">
      <c r="A44" s="45"/>
      <c r="B44" s="46" t="s">
        <v>105</v>
      </c>
      <c r="C44" s="47">
        <f>C45+C49+C53+C56+C66+C72+C77+C84+C61+C95</f>
        <v>955744500</v>
      </c>
      <c r="D44" s="20"/>
      <c r="E44" s="48"/>
      <c r="F44" s="20"/>
      <c r="G44" s="127"/>
      <c r="H44" s="128">
        <v>6501</v>
      </c>
      <c r="I44" s="129" t="s">
        <v>208</v>
      </c>
      <c r="J44" s="130">
        <f>6500000*12</f>
        <v>78000000</v>
      </c>
      <c r="K44" s="7"/>
    </row>
    <row r="45" spans="1:12" s="35" customFormat="1" ht="16.899999999999999" customHeight="1">
      <c r="A45" s="49">
        <v>6400</v>
      </c>
      <c r="B45" s="50" t="s">
        <v>88</v>
      </c>
      <c r="C45" s="51">
        <f>C46+C47+C48</f>
        <v>201690000</v>
      </c>
      <c r="D45" s="32"/>
      <c r="E45" s="33"/>
      <c r="F45" s="32"/>
      <c r="G45" s="127"/>
      <c r="H45" s="128">
        <v>6503</v>
      </c>
      <c r="I45" s="131" t="s">
        <v>209</v>
      </c>
      <c r="J45" s="130">
        <f>400000*12</f>
        <v>4800000</v>
      </c>
      <c r="K45" s="25"/>
    </row>
    <row r="46" spans="1:12" ht="16.899999999999999" customHeight="1">
      <c r="A46" s="132">
        <v>6404</v>
      </c>
      <c r="B46" s="50" t="s">
        <v>210</v>
      </c>
      <c r="C46" s="51">
        <f>J39</f>
        <v>190800000</v>
      </c>
      <c r="D46" s="32"/>
      <c r="E46" s="33"/>
      <c r="F46" s="32"/>
      <c r="G46" s="127"/>
      <c r="H46" s="128">
        <v>6504</v>
      </c>
      <c r="I46" s="133" t="s">
        <v>211</v>
      </c>
      <c r="J46" s="130">
        <f>200000*12</f>
        <v>2400000</v>
      </c>
    </row>
    <row r="47" spans="1:12" ht="16.899999999999999" customHeight="1">
      <c r="A47" s="132">
        <v>6449</v>
      </c>
      <c r="B47" s="50" t="s">
        <v>61</v>
      </c>
      <c r="C47" s="51">
        <v>0</v>
      </c>
      <c r="D47" s="32"/>
      <c r="E47" s="33"/>
      <c r="F47" s="32"/>
      <c r="G47" s="123">
        <v>6550</v>
      </c>
      <c r="H47" s="134"/>
      <c r="I47" s="125" t="s">
        <v>110</v>
      </c>
      <c r="J47" s="126">
        <f>J48+J49+J50+J51+J52+J53+J54+J55+J56</f>
        <v>183900000</v>
      </c>
      <c r="K47" s="35"/>
    </row>
    <row r="48" spans="1:12" ht="16.899999999999999" customHeight="1">
      <c r="A48" s="52">
        <v>6449</v>
      </c>
      <c r="B48" s="37" t="s">
        <v>106</v>
      </c>
      <c r="C48" s="44">
        <f>J40</f>
        <v>10890000</v>
      </c>
      <c r="D48" s="16"/>
      <c r="E48" s="17"/>
      <c r="F48" s="16"/>
      <c r="G48" s="127"/>
      <c r="H48" s="128">
        <v>6551</v>
      </c>
      <c r="I48" s="129" t="s">
        <v>212</v>
      </c>
      <c r="J48" s="130">
        <f>3000000*12</f>
        <v>36000000</v>
      </c>
    </row>
    <row r="49" spans="1:11" ht="16.899999999999999" customHeight="1">
      <c r="A49" s="49">
        <v>6500</v>
      </c>
      <c r="B49" s="50" t="s">
        <v>107</v>
      </c>
      <c r="C49" s="51">
        <f>SUM(C50:C52)</f>
        <v>85200000</v>
      </c>
      <c r="D49" s="16"/>
      <c r="E49" s="17"/>
      <c r="F49" s="16"/>
      <c r="G49" s="127"/>
      <c r="H49" s="128">
        <v>6551</v>
      </c>
      <c r="I49" s="131" t="s">
        <v>213</v>
      </c>
      <c r="J49" s="135">
        <f>2*80000*45</f>
        <v>7200000</v>
      </c>
    </row>
    <row r="50" spans="1:11" s="35" customFormat="1" ht="16.899999999999999" customHeight="1">
      <c r="A50" s="39">
        <v>6501</v>
      </c>
      <c r="B50" s="37" t="s">
        <v>108</v>
      </c>
      <c r="C50" s="38">
        <f>J44</f>
        <v>78000000</v>
      </c>
      <c r="D50" s="16"/>
      <c r="E50" s="17"/>
      <c r="F50" s="16"/>
      <c r="G50" s="127"/>
      <c r="H50" s="128">
        <v>6551</v>
      </c>
      <c r="I50" s="131" t="s">
        <v>214</v>
      </c>
      <c r="J50" s="130">
        <f>170000*12</f>
        <v>2040000</v>
      </c>
      <c r="K50" s="7"/>
    </row>
    <row r="51" spans="1:11" ht="16.899999999999999" customHeight="1">
      <c r="A51" s="39">
        <v>6501</v>
      </c>
      <c r="B51" s="37" t="s">
        <v>215</v>
      </c>
      <c r="C51" s="38">
        <f>J45</f>
        <v>4800000</v>
      </c>
      <c r="D51" s="16"/>
      <c r="E51" s="17"/>
      <c r="F51" s="16"/>
      <c r="G51" s="127"/>
      <c r="H51" s="128">
        <v>6551</v>
      </c>
      <c r="I51" s="131" t="s">
        <v>216</v>
      </c>
      <c r="J51" s="136">
        <f>30000*12*46</f>
        <v>16560000</v>
      </c>
      <c r="K51" s="35"/>
    </row>
    <row r="52" spans="1:11" ht="16.899999999999999" customHeight="1">
      <c r="A52" s="36">
        <v>6504</v>
      </c>
      <c r="B52" s="37" t="s">
        <v>109</v>
      </c>
      <c r="C52" s="38">
        <f>J46</f>
        <v>2400000</v>
      </c>
      <c r="D52" s="16"/>
      <c r="E52" s="17"/>
      <c r="F52" s="16"/>
      <c r="G52" s="127"/>
      <c r="H52" s="128">
        <v>6552</v>
      </c>
      <c r="I52" s="131" t="s">
        <v>217</v>
      </c>
      <c r="J52" s="136">
        <f>1000000*45</f>
        <v>45000000</v>
      </c>
    </row>
    <row r="53" spans="1:11" s="35" customFormat="1" ht="16.899999999999999" customHeight="1">
      <c r="A53" s="42">
        <v>6550</v>
      </c>
      <c r="B53" s="43" t="s">
        <v>110</v>
      </c>
      <c r="C53" s="51">
        <f>SUM(C54:C55)</f>
        <v>183900000</v>
      </c>
      <c r="D53" s="32"/>
      <c r="E53" s="33"/>
      <c r="F53" s="32"/>
      <c r="G53" s="127"/>
      <c r="H53" s="128">
        <v>6599</v>
      </c>
      <c r="I53" s="131" t="s">
        <v>218</v>
      </c>
      <c r="J53" s="130">
        <f>850000*12*2</f>
        <v>20400000</v>
      </c>
      <c r="K53" s="7"/>
    </row>
    <row r="54" spans="1:11" ht="16.899999999999999" customHeight="1">
      <c r="A54" s="36">
        <v>6551</v>
      </c>
      <c r="B54" s="37" t="s">
        <v>111</v>
      </c>
      <c r="C54" s="38">
        <f>J48+J49+J50+J51+J52</f>
        <v>106800000</v>
      </c>
      <c r="D54" s="16"/>
      <c r="E54" s="17"/>
      <c r="F54" s="16"/>
      <c r="G54" s="127"/>
      <c r="H54" s="128">
        <v>6599</v>
      </c>
      <c r="I54" s="131" t="s">
        <v>219</v>
      </c>
      <c r="J54" s="130">
        <f>900000/3*45</f>
        <v>13500000</v>
      </c>
    </row>
    <row r="55" spans="1:11" ht="16.899999999999999" customHeight="1">
      <c r="A55" s="36">
        <v>6599</v>
      </c>
      <c r="B55" s="37" t="s">
        <v>112</v>
      </c>
      <c r="C55" s="38">
        <f>J53+J54+J55+J56</f>
        <v>77100000</v>
      </c>
      <c r="D55" s="16"/>
      <c r="E55" s="17"/>
      <c r="F55" s="16"/>
      <c r="G55" s="127"/>
      <c r="H55" s="128">
        <v>6599</v>
      </c>
      <c r="I55" s="131" t="s">
        <v>220</v>
      </c>
      <c r="J55" s="136">
        <f>50000*12*45</f>
        <v>27000000</v>
      </c>
    </row>
    <row r="56" spans="1:11" ht="16.899999999999999" customHeight="1">
      <c r="A56" s="49">
        <v>6600</v>
      </c>
      <c r="B56" s="43" t="s">
        <v>113</v>
      </c>
      <c r="C56" s="51">
        <f>SUM(C57:C60)</f>
        <v>19200000</v>
      </c>
      <c r="D56" s="32"/>
      <c r="E56" s="33"/>
      <c r="F56" s="32"/>
      <c r="G56" s="127"/>
      <c r="H56" s="128">
        <v>6599</v>
      </c>
      <c r="I56" s="131" t="s">
        <v>221</v>
      </c>
      <c r="J56" s="136">
        <f>30000*12*45</f>
        <v>16200000</v>
      </c>
    </row>
    <row r="57" spans="1:11" s="35" customFormat="1" ht="16.899999999999999" customHeight="1">
      <c r="A57" s="39">
        <v>6601</v>
      </c>
      <c r="B57" s="37" t="s">
        <v>114</v>
      </c>
      <c r="C57" s="38">
        <f>J58</f>
        <v>3600000</v>
      </c>
      <c r="D57" s="16"/>
      <c r="E57" s="17"/>
      <c r="F57" s="16"/>
      <c r="G57" s="127">
        <v>6600</v>
      </c>
      <c r="H57" s="137"/>
      <c r="I57" s="125" t="s">
        <v>113</v>
      </c>
      <c r="J57" s="126">
        <f t="shared" ref="J57" si="2">J58+J59+J60+J61</f>
        <v>19200000</v>
      </c>
      <c r="K57" s="7"/>
    </row>
    <row r="58" spans="1:11" ht="16.899999999999999" customHeight="1">
      <c r="A58" s="36">
        <v>6617</v>
      </c>
      <c r="B58" s="37" t="s">
        <v>115</v>
      </c>
      <c r="C58" s="38">
        <f>J59</f>
        <v>9600000</v>
      </c>
      <c r="D58" s="16"/>
      <c r="E58" s="17"/>
      <c r="F58" s="16"/>
      <c r="G58" s="127"/>
      <c r="H58" s="128">
        <v>6601</v>
      </c>
      <c r="I58" s="129" t="s">
        <v>222</v>
      </c>
      <c r="J58" s="130">
        <f>150000*2*12</f>
        <v>3600000</v>
      </c>
      <c r="K58" s="35"/>
    </row>
    <row r="59" spans="1:11" ht="16.899999999999999" customHeight="1">
      <c r="A59" s="36">
        <v>6612</v>
      </c>
      <c r="B59" s="37" t="s">
        <v>223</v>
      </c>
      <c r="C59" s="38">
        <f>J60</f>
        <v>1200000</v>
      </c>
      <c r="D59" s="16"/>
      <c r="E59" s="17"/>
      <c r="F59" s="16"/>
      <c r="G59" s="127"/>
      <c r="H59" s="128">
        <v>6615</v>
      </c>
      <c r="I59" s="129" t="s">
        <v>224</v>
      </c>
      <c r="J59" s="130">
        <f>800000*12</f>
        <v>9600000</v>
      </c>
    </row>
    <row r="60" spans="1:11" ht="16.899999999999999" customHeight="1">
      <c r="A60" s="36">
        <v>6618</v>
      </c>
      <c r="B60" s="37" t="s">
        <v>116</v>
      </c>
      <c r="C60" s="38">
        <f>J61</f>
        <v>4800000</v>
      </c>
      <c r="D60" s="16"/>
      <c r="E60" s="17"/>
      <c r="F60" s="16"/>
      <c r="G60" s="127"/>
      <c r="H60" s="137">
        <v>6612</v>
      </c>
      <c r="I60" s="129" t="s">
        <v>225</v>
      </c>
      <c r="J60" s="130">
        <f>300000*4</f>
        <v>1200000</v>
      </c>
    </row>
    <row r="61" spans="1:11" ht="16.899999999999999" customHeight="1">
      <c r="A61" s="138">
        <v>6650</v>
      </c>
      <c r="B61" s="139" t="s">
        <v>226</v>
      </c>
      <c r="C61" s="140">
        <f t="shared" ref="C61" si="3">C62+C63+C64+C65</f>
        <v>27600000</v>
      </c>
      <c r="D61" s="32"/>
      <c r="E61" s="33"/>
      <c r="F61" s="32"/>
      <c r="G61" s="127"/>
      <c r="H61" s="137">
        <v>6618</v>
      </c>
      <c r="I61" s="131" t="s">
        <v>227</v>
      </c>
      <c r="J61" s="130">
        <f>200000*2*12</f>
        <v>4800000</v>
      </c>
    </row>
    <row r="62" spans="1:11" ht="16.899999999999999" customHeight="1">
      <c r="A62" s="141">
        <v>6651</v>
      </c>
      <c r="B62" s="142" t="s">
        <v>228</v>
      </c>
      <c r="C62" s="143">
        <v>2000000</v>
      </c>
      <c r="D62" s="16"/>
      <c r="E62" s="17"/>
      <c r="F62" s="16"/>
      <c r="G62" s="127">
        <v>6650</v>
      </c>
      <c r="H62" s="137"/>
      <c r="I62" s="125" t="s">
        <v>226</v>
      </c>
      <c r="J62" s="126">
        <f t="shared" ref="J62" si="4">J63+J64+J65+J66</f>
        <v>27600000</v>
      </c>
    </row>
    <row r="63" spans="1:11" s="35" customFormat="1" ht="16.899999999999999" customHeight="1">
      <c r="A63" s="141">
        <v>6655</v>
      </c>
      <c r="B63" s="142" t="s">
        <v>229</v>
      </c>
      <c r="C63" s="143">
        <v>12000000</v>
      </c>
      <c r="D63" s="16"/>
      <c r="E63" s="17"/>
      <c r="F63" s="16"/>
      <c r="G63" s="127"/>
      <c r="H63" s="137">
        <v>6651</v>
      </c>
      <c r="I63" s="131" t="s">
        <v>230</v>
      </c>
      <c r="J63" s="136">
        <v>2000000</v>
      </c>
      <c r="K63" s="81"/>
    </row>
    <row r="64" spans="1:11" ht="16.899999999999999" customHeight="1">
      <c r="A64" s="141">
        <v>6699</v>
      </c>
      <c r="B64" s="142" t="s">
        <v>231</v>
      </c>
      <c r="C64" s="143">
        <f>(20000*4*45)+(45*50000*4)</f>
        <v>12600000</v>
      </c>
      <c r="D64" s="16"/>
      <c r="E64" s="17"/>
      <c r="F64" s="16"/>
      <c r="G64" s="127"/>
      <c r="H64" s="137">
        <v>6655</v>
      </c>
      <c r="I64" s="131" t="s">
        <v>232</v>
      </c>
      <c r="J64" s="136">
        <v>12000000</v>
      </c>
      <c r="K64" s="35"/>
    </row>
    <row r="65" spans="1:11" ht="16.899999999999999" customHeight="1">
      <c r="A65" s="141">
        <v>6699</v>
      </c>
      <c r="B65" s="142" t="s">
        <v>233</v>
      </c>
      <c r="C65" s="143">
        <f>250000*4</f>
        <v>1000000</v>
      </c>
      <c r="D65" s="16"/>
      <c r="E65" s="17"/>
      <c r="F65" s="16"/>
      <c r="G65" s="127"/>
      <c r="H65" s="137">
        <v>6699</v>
      </c>
      <c r="I65" s="131" t="s">
        <v>234</v>
      </c>
      <c r="J65" s="136">
        <f>(20000*4*45)+(45*50000*4)</f>
        <v>12600000</v>
      </c>
    </row>
    <row r="66" spans="1:11" ht="16.899999999999999" customHeight="1">
      <c r="A66" s="49">
        <v>6700</v>
      </c>
      <c r="B66" s="43" t="s">
        <v>117</v>
      </c>
      <c r="C66" s="144">
        <f>SUM(C67:C71)</f>
        <v>89100000</v>
      </c>
      <c r="D66" s="32"/>
      <c r="E66" s="33"/>
      <c r="F66" s="32"/>
      <c r="G66" s="127"/>
      <c r="H66" s="137">
        <v>6699</v>
      </c>
      <c r="I66" s="131" t="s">
        <v>235</v>
      </c>
      <c r="J66" s="136">
        <f>250000*4</f>
        <v>1000000</v>
      </c>
    </row>
    <row r="67" spans="1:11" ht="16.899999999999999" customHeight="1">
      <c r="A67" s="39">
        <v>6701</v>
      </c>
      <c r="B67" s="37" t="s">
        <v>118</v>
      </c>
      <c r="C67" s="38">
        <f>J68</f>
        <v>32400000</v>
      </c>
      <c r="D67" s="16"/>
      <c r="E67" s="17"/>
      <c r="F67" s="16"/>
      <c r="G67" s="123">
        <v>6700</v>
      </c>
      <c r="H67" s="124"/>
      <c r="I67" s="125" t="s">
        <v>117</v>
      </c>
      <c r="J67" s="126">
        <f>J68+J69+J70+J71</f>
        <v>89100000</v>
      </c>
    </row>
    <row r="68" spans="1:11" s="35" customFormat="1" ht="16.899999999999999" customHeight="1">
      <c r="A68" s="39">
        <v>6702</v>
      </c>
      <c r="B68" s="37" t="s">
        <v>119</v>
      </c>
      <c r="C68" s="38">
        <f>J69</f>
        <v>36000000</v>
      </c>
      <c r="D68" s="16"/>
      <c r="E68" s="17"/>
      <c r="F68" s="16"/>
      <c r="G68" s="127"/>
      <c r="H68" s="137">
        <v>6701</v>
      </c>
      <c r="I68" s="131" t="s">
        <v>236</v>
      </c>
      <c r="J68" s="130">
        <f>36000*20*45</f>
        <v>32400000</v>
      </c>
      <c r="K68" s="7"/>
    </row>
    <row r="69" spans="1:11" ht="16.899999999999999" customHeight="1">
      <c r="A69" s="39">
        <v>6703</v>
      </c>
      <c r="B69" s="37" t="s">
        <v>120</v>
      </c>
      <c r="C69" s="38">
        <f>J70</f>
        <v>13500000</v>
      </c>
      <c r="D69" s="16"/>
      <c r="E69" s="17"/>
      <c r="F69" s="16"/>
      <c r="G69" s="127"/>
      <c r="H69" s="137">
        <v>6702</v>
      </c>
      <c r="I69" s="131" t="s">
        <v>237</v>
      </c>
      <c r="J69" s="145">
        <f>(30000*10*45)+(50000*10*45)</f>
        <v>36000000</v>
      </c>
      <c r="K69" s="35"/>
    </row>
    <row r="70" spans="1:11" ht="16.899999999999999" customHeight="1">
      <c r="A70" s="39">
        <v>6704</v>
      </c>
      <c r="B70" s="37" t="s">
        <v>121</v>
      </c>
      <c r="C70" s="38">
        <f>J71</f>
        <v>7200000</v>
      </c>
      <c r="D70" s="16"/>
      <c r="E70" s="17"/>
      <c r="F70" s="16"/>
      <c r="G70" s="127"/>
      <c r="H70" s="137">
        <v>6703</v>
      </c>
      <c r="I70" s="131" t="s">
        <v>238</v>
      </c>
      <c r="J70" s="130">
        <f>300000*45</f>
        <v>13500000</v>
      </c>
    </row>
    <row r="71" spans="1:11" ht="16.899999999999999" hidden="1" customHeight="1">
      <c r="A71" s="39">
        <v>6749</v>
      </c>
      <c r="B71" s="37" t="s">
        <v>122</v>
      </c>
      <c r="C71" s="38">
        <v>0</v>
      </c>
      <c r="D71" s="16"/>
      <c r="E71" s="17"/>
      <c r="F71" s="16"/>
      <c r="G71" s="127"/>
      <c r="H71" s="137">
        <v>6704</v>
      </c>
      <c r="I71" s="146" t="s">
        <v>239</v>
      </c>
      <c r="J71" s="147">
        <f>2*300000*12</f>
        <v>7200000</v>
      </c>
    </row>
    <row r="72" spans="1:11" ht="16.899999999999999" customHeight="1">
      <c r="A72" s="49">
        <v>6750</v>
      </c>
      <c r="B72" s="43" t="s">
        <v>123</v>
      </c>
      <c r="C72" s="144">
        <f>SUM(C73:C76)</f>
        <v>107000000</v>
      </c>
      <c r="D72" s="32"/>
      <c r="E72" s="33"/>
      <c r="F72" s="32"/>
      <c r="G72" s="127">
        <v>6750</v>
      </c>
      <c r="H72" s="137"/>
      <c r="I72" s="125" t="s">
        <v>240</v>
      </c>
      <c r="J72" s="126">
        <f t="shared" ref="J72" si="5">J73+J74+J77+J75+J76</f>
        <v>107000000</v>
      </c>
      <c r="K72" s="35"/>
    </row>
    <row r="73" spans="1:11" ht="16.899999999999999" customHeight="1">
      <c r="A73" s="36">
        <v>6751</v>
      </c>
      <c r="B73" s="37" t="s">
        <v>124</v>
      </c>
      <c r="C73" s="38">
        <f>J73</f>
        <v>2000000</v>
      </c>
      <c r="D73" s="16"/>
      <c r="E73" s="17"/>
      <c r="F73" s="16"/>
      <c r="G73" s="127"/>
      <c r="H73" s="128">
        <v>6751</v>
      </c>
      <c r="I73" s="131" t="s">
        <v>241</v>
      </c>
      <c r="J73" s="130">
        <v>2000000</v>
      </c>
    </row>
    <row r="74" spans="1:11" ht="16.899999999999999" customHeight="1">
      <c r="A74" s="36">
        <v>6757</v>
      </c>
      <c r="B74" s="37" t="s">
        <v>125</v>
      </c>
      <c r="C74" s="38">
        <f>J76</f>
        <v>54000000</v>
      </c>
      <c r="D74" s="16"/>
      <c r="E74" s="17"/>
      <c r="F74" s="16"/>
      <c r="G74" s="127"/>
      <c r="H74" s="137">
        <v>6751</v>
      </c>
      <c r="I74" s="131" t="s">
        <v>242</v>
      </c>
      <c r="J74" s="148">
        <f>15000000+10000000</f>
        <v>25000000</v>
      </c>
    </row>
    <row r="75" spans="1:11" s="35" customFormat="1" ht="16.899999999999999" customHeight="1">
      <c r="A75" s="36">
        <v>6758</v>
      </c>
      <c r="B75" s="37" t="s">
        <v>126</v>
      </c>
      <c r="C75" s="38">
        <f>J75</f>
        <v>14000000</v>
      </c>
      <c r="D75" s="16"/>
      <c r="E75" s="17"/>
      <c r="F75" s="16"/>
      <c r="G75" s="127"/>
      <c r="H75" s="137">
        <v>6799</v>
      </c>
      <c r="I75" s="131" t="s">
        <v>243</v>
      </c>
      <c r="J75" s="130">
        <f>80000000-54000000-12000000</f>
        <v>14000000</v>
      </c>
      <c r="K75" s="7"/>
    </row>
    <row r="76" spans="1:11" ht="16.899999999999999" customHeight="1">
      <c r="A76" s="36">
        <v>6799</v>
      </c>
      <c r="B76" s="37" t="s">
        <v>122</v>
      </c>
      <c r="C76" s="38">
        <f>J77+J74</f>
        <v>37000000</v>
      </c>
      <c r="D76" s="16"/>
      <c r="E76" s="17"/>
      <c r="F76" s="16"/>
      <c r="G76" s="127"/>
      <c r="H76" s="137">
        <v>6799</v>
      </c>
      <c r="I76" s="131" t="s">
        <v>244</v>
      </c>
      <c r="J76" s="130">
        <f>3000000*2*9</f>
        <v>54000000</v>
      </c>
      <c r="K76" s="35"/>
    </row>
    <row r="77" spans="1:11" ht="16.899999999999999" customHeight="1">
      <c r="A77" s="49">
        <v>6900</v>
      </c>
      <c r="B77" s="43" t="s">
        <v>127</v>
      </c>
      <c r="C77" s="144">
        <f>SUM(C78:C83)</f>
        <v>70000000</v>
      </c>
      <c r="D77" s="32"/>
      <c r="E77" s="33"/>
      <c r="F77" s="32"/>
      <c r="G77" s="127"/>
      <c r="H77" s="137">
        <v>6799</v>
      </c>
      <c r="I77" s="131" t="s">
        <v>245</v>
      </c>
      <c r="J77" s="130">
        <v>12000000</v>
      </c>
    </row>
    <row r="78" spans="1:11" ht="16.899999999999999" customHeight="1">
      <c r="A78" s="39">
        <v>6906</v>
      </c>
      <c r="B78" s="37" t="s">
        <v>128</v>
      </c>
      <c r="C78" s="38">
        <v>20000000</v>
      </c>
      <c r="D78" s="16"/>
      <c r="E78" s="17"/>
      <c r="F78" s="16"/>
      <c r="G78" s="127">
        <v>6900</v>
      </c>
      <c r="H78" s="137"/>
      <c r="I78" s="125" t="s">
        <v>246</v>
      </c>
      <c r="J78" s="126">
        <f t="shared" ref="J78" si="6">J79</f>
        <v>70000000</v>
      </c>
    </row>
    <row r="79" spans="1:11" ht="16.899999999999999" customHeight="1">
      <c r="A79" s="36">
        <v>6908</v>
      </c>
      <c r="B79" s="37" t="s">
        <v>129</v>
      </c>
      <c r="C79" s="38">
        <v>5000000</v>
      </c>
      <c r="D79" s="16"/>
      <c r="E79" s="17"/>
      <c r="F79" s="16"/>
      <c r="G79" s="127"/>
      <c r="H79" s="137">
        <v>6949</v>
      </c>
      <c r="I79" s="131" t="s">
        <v>247</v>
      </c>
      <c r="J79" s="130">
        <v>70000000</v>
      </c>
    </row>
    <row r="80" spans="1:11" s="35" customFormat="1" ht="16.899999999999999" customHeight="1">
      <c r="A80" s="39">
        <v>6912</v>
      </c>
      <c r="B80" s="37" t="s">
        <v>130</v>
      </c>
      <c r="C80" s="38">
        <v>20000000</v>
      </c>
      <c r="D80" s="16"/>
      <c r="E80" s="17"/>
      <c r="F80" s="16"/>
      <c r="G80" s="127">
        <v>7000</v>
      </c>
      <c r="H80" s="137"/>
      <c r="I80" s="125" t="s">
        <v>206</v>
      </c>
      <c r="J80" s="126">
        <f t="shared" ref="J80" si="7">J81+J82+J83+J84+J85+J86+J87</f>
        <v>82054500</v>
      </c>
      <c r="K80" s="7"/>
    </row>
    <row r="81" spans="1:11" ht="16.899999999999999" customHeight="1">
      <c r="A81" s="36">
        <v>6913</v>
      </c>
      <c r="B81" s="37" t="s">
        <v>131</v>
      </c>
      <c r="C81" s="38">
        <v>5000000</v>
      </c>
      <c r="D81" s="16"/>
      <c r="E81" s="17"/>
      <c r="F81" s="16"/>
      <c r="G81" s="127"/>
      <c r="H81" s="137">
        <v>7001</v>
      </c>
      <c r="I81" s="129" t="s">
        <v>248</v>
      </c>
      <c r="J81" s="130">
        <f>40*200000</f>
        <v>8000000</v>
      </c>
    </row>
    <row r="82" spans="1:11" ht="16.899999999999999" customHeight="1">
      <c r="A82" s="36">
        <v>6921</v>
      </c>
      <c r="B82" s="37" t="s">
        <v>132</v>
      </c>
      <c r="C82" s="38">
        <v>10000000</v>
      </c>
      <c r="D82" s="16"/>
      <c r="E82" s="17"/>
      <c r="F82" s="16"/>
      <c r="G82" s="149"/>
      <c r="H82" s="150">
        <v>7002</v>
      </c>
      <c r="I82" s="131" t="s">
        <v>249</v>
      </c>
      <c r="J82" s="136">
        <f>300000*45</f>
        <v>13500000</v>
      </c>
      <c r="K82" s="35"/>
    </row>
    <row r="83" spans="1:11" ht="16.899999999999999" customHeight="1">
      <c r="A83" s="36">
        <v>6949</v>
      </c>
      <c r="B83" s="37" t="s">
        <v>133</v>
      </c>
      <c r="C83" s="38">
        <v>10000000</v>
      </c>
      <c r="D83" s="16"/>
      <c r="E83" s="17"/>
      <c r="F83" s="16"/>
      <c r="G83" s="149"/>
      <c r="H83" s="150">
        <v>7003</v>
      </c>
      <c r="I83" s="131" t="s">
        <v>250</v>
      </c>
      <c r="J83" s="136">
        <f>200000*45</f>
        <v>9000000</v>
      </c>
    </row>
    <row r="84" spans="1:11" ht="16.899999999999999" customHeight="1">
      <c r="A84" s="29">
        <v>6900</v>
      </c>
      <c r="B84" s="30" t="s">
        <v>134</v>
      </c>
      <c r="C84" s="31">
        <f>SUM(C85:C88)</f>
        <v>82054500</v>
      </c>
      <c r="D84" s="32"/>
      <c r="E84" s="33"/>
      <c r="F84" s="32"/>
      <c r="G84" s="149"/>
      <c r="H84" s="150">
        <v>7004</v>
      </c>
      <c r="I84" s="131" t="s">
        <v>251</v>
      </c>
      <c r="J84" s="136">
        <f>2520000+200000</f>
        <v>2720000</v>
      </c>
    </row>
    <row r="85" spans="1:11" ht="16.899999999999999" customHeight="1">
      <c r="A85" s="53">
        <v>7001</v>
      </c>
      <c r="B85" s="54" t="s">
        <v>135</v>
      </c>
      <c r="C85" s="44">
        <f>J81+J82+J83</f>
        <v>30500000</v>
      </c>
      <c r="D85" s="16"/>
      <c r="E85" s="17"/>
      <c r="F85" s="16"/>
      <c r="G85" s="149"/>
      <c r="H85" s="150">
        <v>7049</v>
      </c>
      <c r="I85" s="131" t="s">
        <v>252</v>
      </c>
      <c r="J85" s="136">
        <f>1875000+1250000</f>
        <v>3125000</v>
      </c>
    </row>
    <row r="86" spans="1:11" ht="16.899999999999999" hidden="1" customHeight="1">
      <c r="A86" s="53">
        <v>7003</v>
      </c>
      <c r="B86" s="54" t="s">
        <v>136</v>
      </c>
      <c r="C86" s="44">
        <v>0</v>
      </c>
      <c r="D86" s="16"/>
      <c r="E86" s="17"/>
      <c r="F86" s="16"/>
      <c r="G86" s="149"/>
      <c r="H86" s="150">
        <v>7049</v>
      </c>
      <c r="I86" s="131" t="s">
        <v>253</v>
      </c>
      <c r="J86" s="136">
        <v>35000000</v>
      </c>
    </row>
    <row r="87" spans="1:11" s="79" customFormat="1" ht="32.25" customHeight="1">
      <c r="A87" s="53">
        <v>7004</v>
      </c>
      <c r="B87" s="54" t="s">
        <v>137</v>
      </c>
      <c r="C87" s="44">
        <f>J84</f>
        <v>2720000</v>
      </c>
      <c r="D87" s="16"/>
      <c r="E87" s="17"/>
      <c r="F87" s="16"/>
      <c r="G87" s="149"/>
      <c r="H87" s="150">
        <v>7049</v>
      </c>
      <c r="I87" s="151" t="s">
        <v>254</v>
      </c>
      <c r="J87" s="130">
        <f>38864500-155000-4800000+1800000-25000000</f>
        <v>10709500</v>
      </c>
      <c r="K87" s="35"/>
    </row>
    <row r="88" spans="1:11" s="82" customFormat="1" ht="16.899999999999999" customHeight="1">
      <c r="A88" s="52">
        <v>7049</v>
      </c>
      <c r="B88" s="54" t="s">
        <v>138</v>
      </c>
      <c r="C88" s="44">
        <f>J87+J86+J85</f>
        <v>48834500</v>
      </c>
      <c r="D88" s="16"/>
      <c r="E88" s="17"/>
      <c r="F88" s="16"/>
      <c r="G88" s="119" t="s">
        <v>78</v>
      </c>
      <c r="H88" s="152"/>
      <c r="I88" s="153" t="s">
        <v>58</v>
      </c>
      <c r="J88" s="122">
        <f t="shared" ref="J88" si="8">J89</f>
        <v>117455500</v>
      </c>
      <c r="K88" s="7"/>
    </row>
    <row r="89" spans="1:11" s="34" customFormat="1" ht="16.899999999999999" customHeight="1">
      <c r="A89" s="55">
        <v>7750</v>
      </c>
      <c r="B89" s="30" t="s">
        <v>58</v>
      </c>
      <c r="C89" s="154">
        <f>SUM(C90:C94)</f>
        <v>117455500</v>
      </c>
      <c r="D89" s="32"/>
      <c r="E89" s="33"/>
      <c r="F89" s="32"/>
      <c r="G89" s="127">
        <v>7750</v>
      </c>
      <c r="H89" s="137"/>
      <c r="I89" s="125" t="s">
        <v>58</v>
      </c>
      <c r="J89" s="155">
        <f>SUM(J90:J98)</f>
        <v>117455500</v>
      </c>
      <c r="K89" s="7"/>
    </row>
    <row r="90" spans="1:11" s="1" customFormat="1" ht="16.899999999999999" customHeight="1">
      <c r="A90" s="52">
        <v>7764</v>
      </c>
      <c r="B90" s="37" t="s">
        <v>139</v>
      </c>
      <c r="C90" s="44">
        <f>J91+J90</f>
        <v>28675000</v>
      </c>
      <c r="D90" s="16"/>
      <c r="E90" s="17"/>
      <c r="F90" s="16"/>
      <c r="G90" s="106"/>
      <c r="H90" s="134">
        <v>7764</v>
      </c>
      <c r="I90" s="114" t="s">
        <v>255</v>
      </c>
      <c r="J90" s="156">
        <v>4800000</v>
      </c>
      <c r="K90" s="7"/>
    </row>
    <row r="91" spans="1:11" s="34" customFormat="1" ht="16.899999999999999" customHeight="1">
      <c r="A91" s="52">
        <v>7761</v>
      </c>
      <c r="B91" s="54" t="s">
        <v>140</v>
      </c>
      <c r="C91" s="44">
        <f>J93+J94+J95</f>
        <v>24780500</v>
      </c>
      <c r="D91" s="16"/>
      <c r="E91" s="17"/>
      <c r="F91" s="16"/>
      <c r="G91" s="123"/>
      <c r="H91" s="134">
        <v>7764</v>
      </c>
      <c r="I91" s="114" t="s">
        <v>256</v>
      </c>
      <c r="J91" s="156">
        <v>23875000</v>
      </c>
      <c r="K91" s="7"/>
    </row>
    <row r="92" spans="1:11" s="1" customFormat="1" ht="16.899999999999999" customHeight="1">
      <c r="A92" s="52">
        <v>7799</v>
      </c>
      <c r="B92" s="54" t="s">
        <v>141</v>
      </c>
      <c r="C92" s="44">
        <f>J97</f>
        <v>30000000</v>
      </c>
      <c r="D92" s="16"/>
      <c r="E92" s="17"/>
      <c r="F92" s="16"/>
      <c r="G92" s="149"/>
      <c r="H92" s="150">
        <v>7758</v>
      </c>
      <c r="I92" s="151" t="s">
        <v>257</v>
      </c>
      <c r="J92" s="157">
        <v>0</v>
      </c>
      <c r="K92" s="7"/>
    </row>
    <row r="93" spans="1:11" s="1" customFormat="1" ht="16.899999999999999" customHeight="1">
      <c r="A93" s="52">
        <v>7799</v>
      </c>
      <c r="B93" s="54" t="s">
        <v>142</v>
      </c>
      <c r="C93" s="44">
        <f>J96+J98-600000</f>
        <v>33400000</v>
      </c>
      <c r="D93" s="16"/>
      <c r="E93" s="17"/>
      <c r="F93" s="16"/>
      <c r="G93" s="149"/>
      <c r="H93" s="150">
        <v>7761</v>
      </c>
      <c r="I93" s="131" t="s">
        <v>258</v>
      </c>
      <c r="J93" s="156">
        <v>3180500</v>
      </c>
      <c r="K93" s="7"/>
    </row>
    <row r="94" spans="1:11" s="1" customFormat="1" ht="16.899999999999999" customHeight="1">
      <c r="A94" s="52">
        <v>7899</v>
      </c>
      <c r="B94" s="54" t="s">
        <v>143</v>
      </c>
      <c r="C94" s="44">
        <v>600000</v>
      </c>
      <c r="D94" s="16"/>
      <c r="E94" s="17"/>
      <c r="F94" s="16"/>
      <c r="G94" s="149"/>
      <c r="H94" s="150">
        <v>7761</v>
      </c>
      <c r="I94" s="131" t="s">
        <v>259</v>
      </c>
      <c r="J94" s="156">
        <f>10000*12*45</f>
        <v>5400000</v>
      </c>
      <c r="K94" s="35"/>
    </row>
    <row r="95" spans="1:11" s="1" customFormat="1" ht="16.899999999999999" customHeight="1">
      <c r="A95" s="10"/>
      <c r="B95" s="3" t="s">
        <v>61</v>
      </c>
      <c r="C95" s="6">
        <v>90000000</v>
      </c>
      <c r="D95" s="16"/>
      <c r="E95" s="17"/>
      <c r="F95" s="16"/>
      <c r="G95" s="149"/>
      <c r="H95" s="150">
        <v>7761</v>
      </c>
      <c r="I95" s="131" t="s">
        <v>260</v>
      </c>
      <c r="J95" s="156">
        <f>150000*12*9</f>
        <v>16200000</v>
      </c>
      <c r="K95" s="7"/>
    </row>
    <row r="96" spans="1:11" s="63" customFormat="1" ht="31.5">
      <c r="A96" s="76" t="s">
        <v>30</v>
      </c>
      <c r="B96" s="77" t="s">
        <v>40</v>
      </c>
      <c r="C96" s="78">
        <f>C97+C112+C119+C124</f>
        <v>1492205600</v>
      </c>
      <c r="D96" s="24">
        <f>'Bieu 4'!D134</f>
        <v>335620084</v>
      </c>
      <c r="E96" s="186">
        <f>D96/C96*100%</f>
        <v>0.22491544328743976</v>
      </c>
      <c r="F96" s="24"/>
      <c r="G96" s="149"/>
      <c r="H96" s="150">
        <v>7799</v>
      </c>
      <c r="I96" s="131" t="s">
        <v>261</v>
      </c>
      <c r="J96" s="157">
        <f>40000*12</f>
        <v>480000</v>
      </c>
      <c r="K96" s="7"/>
    </row>
    <row r="97" spans="1:11" s="1" customFormat="1">
      <c r="A97" s="9"/>
      <c r="B97" s="3" t="s">
        <v>59</v>
      </c>
      <c r="C97" s="6">
        <f>C98+C100</f>
        <v>904275600</v>
      </c>
      <c r="D97" s="20"/>
      <c r="E97" s="48"/>
      <c r="F97" s="20"/>
      <c r="G97" s="149"/>
      <c r="H97" s="150">
        <v>7799</v>
      </c>
      <c r="I97" s="151" t="s">
        <v>262</v>
      </c>
      <c r="J97" s="156">
        <v>30000000</v>
      </c>
      <c r="K97" s="7"/>
    </row>
    <row r="98" spans="1:11" s="1" customFormat="1">
      <c r="A98" s="56">
        <v>6100</v>
      </c>
      <c r="B98" s="57" t="s">
        <v>93</v>
      </c>
      <c r="C98" s="31">
        <f>C99</f>
        <v>70000000</v>
      </c>
      <c r="D98" s="32"/>
      <c r="E98" s="33"/>
      <c r="F98" s="32"/>
      <c r="G98" s="149"/>
      <c r="H98" s="150">
        <v>7799</v>
      </c>
      <c r="I98" s="151" t="s">
        <v>263</v>
      </c>
      <c r="J98" s="157">
        <f>21120000+12400000</f>
        <v>33520000</v>
      </c>
      <c r="K98" s="7"/>
    </row>
    <row r="99" spans="1:11" s="1" customFormat="1">
      <c r="A99" s="58">
        <v>6105</v>
      </c>
      <c r="B99" s="57" t="s">
        <v>144</v>
      </c>
      <c r="C99" s="44">
        <f>J101</f>
        <v>70000000</v>
      </c>
      <c r="D99" s="16"/>
      <c r="E99" s="17"/>
      <c r="F99" s="16"/>
      <c r="G99" s="306" t="s">
        <v>264</v>
      </c>
      <c r="H99" s="307"/>
      <c r="I99" s="308"/>
      <c r="J99" s="158">
        <f t="shared" ref="J99" si="9">J100+J102+J114+J117+J121+J123+J128</f>
        <v>1492205600</v>
      </c>
      <c r="K99" s="35"/>
    </row>
    <row r="100" spans="1:11" s="1" customFormat="1">
      <c r="A100" s="56">
        <v>6400</v>
      </c>
      <c r="B100" s="57" t="s">
        <v>88</v>
      </c>
      <c r="C100" s="31">
        <f>SUM(C101:C111)</f>
        <v>834275600</v>
      </c>
      <c r="D100" s="32"/>
      <c r="E100" s="33"/>
      <c r="F100" s="32"/>
      <c r="G100" s="106">
        <v>6100</v>
      </c>
      <c r="H100" s="112"/>
      <c r="I100" s="104" t="s">
        <v>93</v>
      </c>
      <c r="J100" s="159">
        <f t="shared" ref="J100" si="10">J101</f>
        <v>70000000</v>
      </c>
      <c r="K100" s="7"/>
    </row>
    <row r="101" spans="1:11" s="1" customFormat="1">
      <c r="A101" s="59">
        <v>6406</v>
      </c>
      <c r="B101" s="57" t="s">
        <v>145</v>
      </c>
      <c r="C101" s="44">
        <f>J103</f>
        <v>7110000</v>
      </c>
      <c r="D101" s="16"/>
      <c r="E101" s="17"/>
      <c r="F101" s="16"/>
      <c r="G101" s="106"/>
      <c r="H101" s="107">
        <v>6106</v>
      </c>
      <c r="I101" s="114" t="s">
        <v>144</v>
      </c>
      <c r="J101" s="160">
        <v>70000000</v>
      </c>
      <c r="K101" s="7"/>
    </row>
    <row r="102" spans="1:11" s="1" customFormat="1">
      <c r="A102" s="58">
        <v>6449</v>
      </c>
      <c r="B102" s="57" t="s">
        <v>146</v>
      </c>
      <c r="C102" s="44">
        <f>J104</f>
        <v>162957600</v>
      </c>
      <c r="D102" s="16"/>
      <c r="E102" s="17"/>
      <c r="F102" s="16"/>
      <c r="G102" s="106">
        <v>6450</v>
      </c>
      <c r="H102" s="103"/>
      <c r="I102" s="104"/>
      <c r="J102" s="159">
        <f t="shared" ref="J102" si="11">SUM(J103:J113)</f>
        <v>836075600</v>
      </c>
      <c r="K102" s="7"/>
    </row>
    <row r="103" spans="1:11" s="82" customFormat="1">
      <c r="A103" s="59">
        <v>6449</v>
      </c>
      <c r="B103" s="57" t="s">
        <v>333</v>
      </c>
      <c r="C103" s="44">
        <f>J107</f>
        <v>12000000</v>
      </c>
      <c r="D103" s="16"/>
      <c r="E103" s="17"/>
      <c r="F103" s="16"/>
      <c r="G103" s="106"/>
      <c r="H103" s="107">
        <v>6406</v>
      </c>
      <c r="I103" s="161" t="s">
        <v>265</v>
      </c>
      <c r="J103" s="160">
        <f>4410000+2700000</f>
        <v>7110000</v>
      </c>
      <c r="K103" s="7"/>
    </row>
    <row r="104" spans="1:11" s="34" customFormat="1" ht="25.5" customHeight="1">
      <c r="A104" s="59">
        <v>6449</v>
      </c>
      <c r="B104" s="57" t="s">
        <v>334</v>
      </c>
      <c r="C104" s="44">
        <f>J106</f>
        <v>21600000</v>
      </c>
      <c r="D104" s="16"/>
      <c r="E104" s="17"/>
      <c r="F104" s="16"/>
      <c r="G104" s="106"/>
      <c r="H104" s="107">
        <v>6449</v>
      </c>
      <c r="I104" s="162" t="s">
        <v>266</v>
      </c>
      <c r="J104" s="160">
        <f>10.446*1300000*12</f>
        <v>162957600</v>
      </c>
      <c r="K104" s="7"/>
    </row>
    <row r="105" spans="1:11" s="1" customFormat="1">
      <c r="A105" s="59">
        <v>6449</v>
      </c>
      <c r="B105" s="60" t="s">
        <v>147</v>
      </c>
      <c r="C105" s="44">
        <f>J112</f>
        <v>9200000</v>
      </c>
      <c r="D105" s="61"/>
      <c r="E105" s="62"/>
      <c r="F105" s="61"/>
      <c r="G105" s="106"/>
      <c r="H105" s="107">
        <v>6449</v>
      </c>
      <c r="I105" s="114" t="s">
        <v>267</v>
      </c>
      <c r="J105" s="160">
        <f>0.1*1300000*12</f>
        <v>1560000</v>
      </c>
      <c r="K105" s="7"/>
    </row>
    <row r="106" spans="1:11" s="34" customFormat="1">
      <c r="A106" s="59">
        <v>6449</v>
      </c>
      <c r="B106" s="57" t="s">
        <v>148</v>
      </c>
      <c r="C106" s="44">
        <f>J108</f>
        <v>4680000</v>
      </c>
      <c r="D106" s="16"/>
      <c r="E106" s="17"/>
      <c r="F106" s="16"/>
      <c r="G106" s="106"/>
      <c r="H106" s="107">
        <v>6449</v>
      </c>
      <c r="I106" s="114" t="s">
        <v>268</v>
      </c>
      <c r="J106" s="163">
        <v>21600000</v>
      </c>
      <c r="K106" s="79"/>
    </row>
    <row r="107" spans="1:11" s="1" customFormat="1" ht="17.25">
      <c r="A107" s="59">
        <v>6449</v>
      </c>
      <c r="B107" s="114" t="s">
        <v>269</v>
      </c>
      <c r="C107" s="44">
        <f>J110</f>
        <v>601128000</v>
      </c>
      <c r="D107" s="16"/>
      <c r="E107" s="17"/>
      <c r="F107" s="16"/>
      <c r="G107" s="106"/>
      <c r="H107" s="107">
        <v>6449</v>
      </c>
      <c r="I107" s="162" t="s">
        <v>270</v>
      </c>
      <c r="J107" s="163">
        <v>12000000</v>
      </c>
      <c r="K107" s="82"/>
    </row>
    <row r="108" spans="1:11" s="34" customFormat="1" ht="17.25">
      <c r="A108" s="59">
        <v>6449</v>
      </c>
      <c r="B108" s="57" t="s">
        <v>149</v>
      </c>
      <c r="C108" s="44">
        <f>J105</f>
        <v>1560000</v>
      </c>
      <c r="D108" s="16"/>
      <c r="E108" s="17"/>
      <c r="F108" s="16"/>
      <c r="G108" s="106"/>
      <c r="H108" s="107">
        <v>6449</v>
      </c>
      <c r="I108" s="114" t="s">
        <v>271</v>
      </c>
      <c r="J108" s="164">
        <f>0.3*1300000*12</f>
        <v>4680000</v>
      </c>
    </row>
    <row r="109" spans="1:11" s="1" customFormat="1" ht="17.25">
      <c r="A109" s="59">
        <v>6449</v>
      </c>
      <c r="B109" s="57" t="s">
        <v>150</v>
      </c>
      <c r="C109" s="44">
        <f>J109</f>
        <v>3120000</v>
      </c>
      <c r="D109" s="16"/>
      <c r="E109" s="17"/>
      <c r="F109" s="16"/>
      <c r="G109" s="106"/>
      <c r="H109" s="107">
        <v>6449</v>
      </c>
      <c r="I109" s="114" t="s">
        <v>272</v>
      </c>
      <c r="J109" s="164">
        <f>0.2*1300000*12</f>
        <v>3120000</v>
      </c>
    </row>
    <row r="110" spans="1:11" s="69" customFormat="1" ht="17.25">
      <c r="A110" s="59">
        <v>6449</v>
      </c>
      <c r="B110" s="114" t="s">
        <v>273</v>
      </c>
      <c r="C110" s="44">
        <v>0</v>
      </c>
      <c r="D110" s="16"/>
      <c r="E110" s="17"/>
      <c r="F110" s="16"/>
      <c r="G110" s="106"/>
      <c r="H110" s="107">
        <v>6449</v>
      </c>
      <c r="I110" s="114" t="s">
        <v>269</v>
      </c>
      <c r="J110" s="160">
        <v>601128000</v>
      </c>
      <c r="K110" s="34"/>
    </row>
    <row r="111" spans="1:11" s="1" customFormat="1" ht="17.25">
      <c r="A111" s="59">
        <v>6449</v>
      </c>
      <c r="B111" s="57" t="s">
        <v>151</v>
      </c>
      <c r="C111" s="44">
        <f>J113</f>
        <v>10920000</v>
      </c>
      <c r="D111" s="16"/>
      <c r="E111" s="17"/>
      <c r="F111" s="16"/>
      <c r="G111" s="106"/>
      <c r="H111" s="107">
        <v>6449</v>
      </c>
      <c r="I111" s="114" t="s">
        <v>273</v>
      </c>
      <c r="J111" s="163">
        <v>1800000</v>
      </c>
    </row>
    <row r="112" spans="1:11" s="1" customFormat="1" ht="18">
      <c r="A112" s="64"/>
      <c r="B112" s="65" t="s">
        <v>63</v>
      </c>
      <c r="C112" s="6">
        <f>C113+C117+C115</f>
        <v>166800000</v>
      </c>
      <c r="D112" s="20"/>
      <c r="E112" s="48"/>
      <c r="F112" s="20"/>
      <c r="G112" s="106"/>
      <c r="H112" s="107">
        <v>6449</v>
      </c>
      <c r="I112" s="114" t="s">
        <v>274</v>
      </c>
      <c r="J112" s="109">
        <f>46*200000</f>
        <v>9200000</v>
      </c>
    </row>
    <row r="113" spans="1:11" s="1" customFormat="1" ht="30">
      <c r="A113" s="56">
        <v>6750</v>
      </c>
      <c r="B113" s="57" t="s">
        <v>154</v>
      </c>
      <c r="C113" s="31">
        <f>C114</f>
        <v>70000000</v>
      </c>
      <c r="D113" s="32"/>
      <c r="E113" s="33"/>
      <c r="F113" s="32"/>
      <c r="G113" s="106"/>
      <c r="H113" s="107">
        <v>6449</v>
      </c>
      <c r="I113" s="165" t="s">
        <v>275</v>
      </c>
      <c r="J113" s="160">
        <f>0.7*1300000*12</f>
        <v>10920000</v>
      </c>
    </row>
    <row r="114" spans="1:11" s="1" customFormat="1" ht="17.25">
      <c r="A114" s="59">
        <v>6758</v>
      </c>
      <c r="B114" s="57" t="s">
        <v>155</v>
      </c>
      <c r="C114" s="44">
        <f>J115</f>
        <v>70000000</v>
      </c>
      <c r="D114" s="16"/>
      <c r="E114" s="17"/>
      <c r="F114" s="16"/>
      <c r="G114" s="106">
        <v>6750</v>
      </c>
      <c r="H114" s="103"/>
      <c r="I114" s="166" t="s">
        <v>240</v>
      </c>
      <c r="J114" s="111">
        <f t="shared" ref="J114" si="12">SUM(J115:J116)</f>
        <v>70000000</v>
      </c>
    </row>
    <row r="115" spans="1:11" s="82" customFormat="1" ht="30.75" customHeight="1">
      <c r="A115" s="56">
        <v>6900</v>
      </c>
      <c r="B115" s="167" t="s">
        <v>276</v>
      </c>
      <c r="C115" s="168">
        <f>J117</f>
        <v>95000000</v>
      </c>
      <c r="D115" s="32"/>
      <c r="E115" s="33"/>
      <c r="F115" s="32"/>
      <c r="G115" s="169"/>
      <c r="H115" s="170">
        <v>6758</v>
      </c>
      <c r="I115" s="161" t="s">
        <v>277</v>
      </c>
      <c r="J115" s="160">
        <v>70000000</v>
      </c>
      <c r="K115" s="63"/>
    </row>
    <row r="116" spans="1:11" s="1" customFormat="1" ht="23.25" customHeight="1">
      <c r="A116" s="59">
        <v>6949</v>
      </c>
      <c r="B116" s="171" t="s">
        <v>278</v>
      </c>
      <c r="C116" s="44">
        <f>J118</f>
        <v>95000000</v>
      </c>
      <c r="D116" s="16"/>
      <c r="E116" s="17"/>
      <c r="F116" s="16"/>
      <c r="G116" s="172"/>
      <c r="H116" s="173">
        <v>6799</v>
      </c>
      <c r="I116" s="174" t="s">
        <v>279</v>
      </c>
      <c r="J116" s="109">
        <f>O104</f>
        <v>0</v>
      </c>
    </row>
    <row r="117" spans="1:11" s="1" customFormat="1" ht="17.25">
      <c r="A117" s="56">
        <v>7000</v>
      </c>
      <c r="B117" s="57" t="s">
        <v>156</v>
      </c>
      <c r="C117" s="31">
        <f>C118</f>
        <v>1800000</v>
      </c>
      <c r="D117" s="32"/>
      <c r="E117" s="33"/>
      <c r="F117" s="32"/>
      <c r="G117" s="106">
        <v>6900</v>
      </c>
      <c r="H117" s="103"/>
      <c r="I117" s="104" t="s">
        <v>276</v>
      </c>
      <c r="J117" s="111">
        <f t="shared" ref="J117" si="13">SUM(J118:J119)</f>
        <v>95000000</v>
      </c>
    </row>
    <row r="118" spans="1:11" s="1" customFormat="1" ht="20.25" customHeight="1">
      <c r="A118" s="59">
        <v>7004</v>
      </c>
      <c r="B118" s="57" t="s">
        <v>157</v>
      </c>
      <c r="C118" s="44">
        <f>J111</f>
        <v>1800000</v>
      </c>
      <c r="D118" s="16"/>
      <c r="E118" s="17"/>
      <c r="F118" s="16"/>
      <c r="G118" s="175"/>
      <c r="H118" s="176">
        <v>6949</v>
      </c>
      <c r="I118" s="171" t="s">
        <v>278</v>
      </c>
      <c r="J118" s="111">
        <v>95000000</v>
      </c>
    </row>
    <row r="119" spans="1:11" s="1" customFormat="1" ht="18">
      <c r="A119" s="66"/>
      <c r="B119" s="65" t="s">
        <v>58</v>
      </c>
      <c r="C119" s="6">
        <f>SUM(C120:C123)</f>
        <v>71130000</v>
      </c>
      <c r="D119" s="67"/>
      <c r="E119" s="68"/>
      <c r="F119" s="67"/>
      <c r="G119" s="106"/>
      <c r="H119" s="107">
        <v>6949</v>
      </c>
      <c r="I119" s="162" t="s">
        <v>280</v>
      </c>
      <c r="J119" s="109">
        <v>0</v>
      </c>
    </row>
    <row r="120" spans="1:11" s="1" customFormat="1" ht="17.25">
      <c r="A120" s="59">
        <v>7757</v>
      </c>
      <c r="B120" s="57" t="s">
        <v>158</v>
      </c>
      <c r="C120" s="44">
        <f>J127</f>
        <v>20000000</v>
      </c>
      <c r="D120" s="16"/>
      <c r="E120" s="17"/>
      <c r="F120" s="16"/>
      <c r="G120" s="106"/>
      <c r="H120" s="107"/>
      <c r="I120" s="162"/>
      <c r="J120" s="109"/>
    </row>
    <row r="121" spans="1:11">
      <c r="A121" s="59">
        <v>7799</v>
      </c>
      <c r="B121" s="57" t="s">
        <v>159</v>
      </c>
      <c r="C121" s="44">
        <f>J126</f>
        <v>46000000</v>
      </c>
      <c r="D121" s="16"/>
      <c r="E121" s="17"/>
      <c r="F121" s="16"/>
      <c r="G121" s="169">
        <v>7000</v>
      </c>
      <c r="H121" s="177"/>
      <c r="I121" s="178" t="s">
        <v>281</v>
      </c>
      <c r="J121" s="111">
        <f t="shared" ref="J121" si="14">SUM(J122)</f>
        <v>0</v>
      </c>
      <c r="K121" s="1"/>
    </row>
    <row r="122" spans="1:11">
      <c r="A122" s="59">
        <v>7799</v>
      </c>
      <c r="B122" s="57" t="s">
        <v>160</v>
      </c>
      <c r="C122" s="44">
        <v>0</v>
      </c>
      <c r="D122" s="16"/>
      <c r="E122" s="17"/>
      <c r="F122" s="16"/>
      <c r="G122" s="106"/>
      <c r="H122" s="179">
        <v>7049</v>
      </c>
      <c r="I122" s="180" t="s">
        <v>282</v>
      </c>
      <c r="J122" s="109">
        <f>SUM(K110:N110)</f>
        <v>0</v>
      </c>
      <c r="K122" s="82"/>
    </row>
    <row r="123" spans="1:11">
      <c r="A123" s="58">
        <v>7766</v>
      </c>
      <c r="B123" s="57" t="s">
        <v>161</v>
      </c>
      <c r="C123" s="44">
        <f>J124+J125</f>
        <v>5130000</v>
      </c>
      <c r="D123" s="16"/>
      <c r="E123" s="17"/>
      <c r="F123" s="16"/>
      <c r="G123" s="169">
        <v>7750</v>
      </c>
      <c r="H123" s="181"/>
      <c r="I123" s="178" t="s">
        <v>283</v>
      </c>
      <c r="J123" s="111">
        <f t="shared" ref="J123" si="15">SUM(J124:J127)</f>
        <v>71130000</v>
      </c>
      <c r="K123" s="34"/>
    </row>
    <row r="124" spans="1:11">
      <c r="A124" s="2"/>
      <c r="B124" s="65" t="s">
        <v>85</v>
      </c>
      <c r="C124" s="6">
        <f>C125+C126</f>
        <v>350000000</v>
      </c>
      <c r="D124" s="70"/>
      <c r="E124" s="71"/>
      <c r="F124" s="70"/>
      <c r="G124" s="169"/>
      <c r="H124" s="170">
        <v>7766</v>
      </c>
      <c r="I124" s="161" t="s">
        <v>284</v>
      </c>
      <c r="J124" s="160">
        <f>(1350000+1080000+2700000)*60%</f>
        <v>3078000</v>
      </c>
      <c r="K124" s="1"/>
    </row>
    <row r="125" spans="1:11">
      <c r="A125" s="59">
        <v>9099</v>
      </c>
      <c r="B125" s="114" t="s">
        <v>285</v>
      </c>
      <c r="C125" s="44">
        <f>J129</f>
        <v>70000000</v>
      </c>
      <c r="D125" s="16"/>
      <c r="E125" s="17"/>
      <c r="F125" s="16"/>
      <c r="G125" s="169"/>
      <c r="H125" s="170">
        <v>7766</v>
      </c>
      <c r="I125" s="161" t="s">
        <v>286</v>
      </c>
      <c r="J125" s="160">
        <f>(1350000+1080000+2700000)*40%</f>
        <v>2052000</v>
      </c>
      <c r="K125" s="34"/>
    </row>
    <row r="126" spans="1:11" ht="30.75">
      <c r="A126" s="72"/>
      <c r="B126" s="131" t="s">
        <v>287</v>
      </c>
      <c r="C126" s="16">
        <f>J130</f>
        <v>280000000</v>
      </c>
      <c r="D126" s="16"/>
      <c r="E126" s="17"/>
      <c r="F126" s="16"/>
      <c r="G126" s="169"/>
      <c r="H126" s="170">
        <v>7799</v>
      </c>
      <c r="I126" s="182" t="s">
        <v>288</v>
      </c>
      <c r="J126" s="109">
        <v>46000000</v>
      </c>
      <c r="K126" s="1"/>
    </row>
    <row r="127" spans="1:11">
      <c r="A127" s="1"/>
      <c r="B127" s="1"/>
      <c r="C127" s="1"/>
      <c r="D127" s="309" t="s">
        <v>340</v>
      </c>
      <c r="E127" s="309"/>
      <c r="F127" s="309"/>
      <c r="G127" s="169"/>
      <c r="H127" s="170">
        <v>7799</v>
      </c>
      <c r="I127" s="114" t="s">
        <v>289</v>
      </c>
      <c r="J127" s="109">
        <v>20000000</v>
      </c>
      <c r="K127" s="34"/>
    </row>
    <row r="128" spans="1:11">
      <c r="A128" s="1"/>
      <c r="B128" s="82" t="s">
        <v>163</v>
      </c>
      <c r="C128" s="1"/>
      <c r="D128" s="310" t="s">
        <v>46</v>
      </c>
      <c r="E128" s="310"/>
      <c r="F128" s="310"/>
      <c r="G128" s="169">
        <v>9099</v>
      </c>
      <c r="H128" s="170"/>
      <c r="I128" s="104" t="s">
        <v>290</v>
      </c>
      <c r="J128" s="111">
        <f>SUM(J129:J130)</f>
        <v>350000000</v>
      </c>
      <c r="K128" s="1"/>
    </row>
    <row r="129" spans="1:11">
      <c r="A129" s="1"/>
      <c r="B129" s="1"/>
      <c r="C129" s="1"/>
      <c r="D129" s="1"/>
      <c r="E129" s="1"/>
      <c r="F129" s="1"/>
      <c r="G129" s="169"/>
      <c r="H129" s="170"/>
      <c r="I129" s="114" t="s">
        <v>285</v>
      </c>
      <c r="J129" s="109">
        <v>70000000</v>
      </c>
      <c r="K129" s="69"/>
    </row>
    <row r="130" spans="1:11" ht="30.75">
      <c r="G130" s="169"/>
      <c r="H130" s="170"/>
      <c r="I130" s="131" t="s">
        <v>287</v>
      </c>
      <c r="J130" s="109">
        <f>140*2000000</f>
        <v>280000000</v>
      </c>
      <c r="K130" s="1"/>
    </row>
    <row r="131" spans="1:11">
      <c r="G131" s="301" t="s">
        <v>291</v>
      </c>
      <c r="H131" s="301"/>
      <c r="I131" s="301"/>
      <c r="J131" s="183" t="e">
        <f t="shared" ref="J131" si="16">J99+#REF!</f>
        <v>#REF!</v>
      </c>
      <c r="K131" s="1"/>
    </row>
    <row r="132" spans="1:11">
      <c r="G132" s="184"/>
      <c r="H132" s="1"/>
      <c r="I132" s="1"/>
      <c r="J132" s="1"/>
      <c r="K132" s="1"/>
    </row>
    <row r="133" spans="1:11">
      <c r="K133" s="1"/>
    </row>
    <row r="134" spans="1:11">
      <c r="K134" s="82"/>
    </row>
    <row r="135" spans="1:11">
      <c r="K135" s="1"/>
    </row>
    <row r="136" spans="1:11">
      <c r="K136" s="1"/>
    </row>
    <row r="137" spans="1:11">
      <c r="K137" s="1"/>
    </row>
    <row r="138" spans="1:11">
      <c r="K138" s="1"/>
    </row>
    <row r="139" spans="1:11">
      <c r="K139" s="1"/>
    </row>
  </sheetData>
  <mergeCells count="18">
    <mergeCell ref="A2:B2"/>
    <mergeCell ref="A3:F3"/>
    <mergeCell ref="C1:F2"/>
    <mergeCell ref="G131:I131"/>
    <mergeCell ref="G1:I1"/>
    <mergeCell ref="H2:I2"/>
    <mergeCell ref="G99:I99"/>
    <mergeCell ref="D127:F127"/>
    <mergeCell ref="D128:F128"/>
    <mergeCell ref="A4:F4"/>
    <mergeCell ref="A5:F5"/>
    <mergeCell ref="E6:F6"/>
    <mergeCell ref="A7:A8"/>
    <mergeCell ref="B7:B8"/>
    <mergeCell ref="C7:C8"/>
    <mergeCell ref="D7:D8"/>
    <mergeCell ref="E7:F7"/>
    <mergeCell ref="A1:B1"/>
  </mergeCells>
  <pageMargins left="0.27" right="0.31496062992125984" top="0.55118110236220474"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187"/>
  <sheetViews>
    <sheetView tabSelected="1" workbookViewId="0">
      <selection activeCell="P6" sqref="P6"/>
    </sheetView>
  </sheetViews>
  <sheetFormatPr defaultRowHeight="15"/>
  <cols>
    <col min="1" max="1" width="9" style="237" customWidth="1"/>
    <col min="2" max="2" width="31.140625" style="237" customWidth="1"/>
    <col min="3" max="3" width="15" style="237" customWidth="1"/>
    <col min="4" max="4" width="15.28515625" style="237" customWidth="1"/>
    <col min="5" max="5" width="13.5703125" style="237" customWidth="1"/>
    <col min="6" max="6" width="13.85546875" style="237" customWidth="1"/>
    <col min="7" max="7" width="10.85546875" style="237" customWidth="1"/>
    <col min="8" max="8" width="9.140625" style="237" hidden="1" customWidth="1"/>
    <col min="9" max="9" width="22.140625" style="237" hidden="1" customWidth="1"/>
    <col min="10" max="10" width="15.7109375" style="237" hidden="1" customWidth="1"/>
    <col min="11" max="11" width="14" style="237" hidden="1" customWidth="1"/>
    <col min="12" max="12" width="14.28515625" style="237" hidden="1" customWidth="1"/>
    <col min="13" max="13" width="13.5703125" style="237" hidden="1" customWidth="1"/>
    <col min="14" max="20" width="9.140625" style="237" customWidth="1"/>
    <col min="21" max="16384" width="9.140625" style="237"/>
  </cols>
  <sheetData>
    <row r="1" spans="1:7" s="233" customFormat="1" ht="34.5" customHeight="1">
      <c r="A1" s="336" t="str">
        <f>'Bieu 3'!A1:B1</f>
        <v>Trường THCS Mỹ Phước</v>
      </c>
      <c r="B1" s="336"/>
      <c r="C1" s="356"/>
      <c r="D1" s="293" t="s">
        <v>164</v>
      </c>
      <c r="E1" s="293"/>
      <c r="F1" s="293"/>
      <c r="G1" s="293"/>
    </row>
    <row r="2" spans="1:7" s="235" customFormat="1" ht="18.75">
      <c r="A2" s="337" t="str">
        <f>'[2]Bieu 3'!A3:B3</f>
        <v xml:space="preserve"> Chương: 622</v>
      </c>
      <c r="B2" s="337"/>
      <c r="C2" s="234"/>
      <c r="D2" s="293"/>
      <c r="E2" s="293"/>
      <c r="F2" s="293"/>
      <c r="G2" s="293"/>
    </row>
    <row r="3" spans="1:7" ht="22.5" customHeight="1">
      <c r="A3" s="338" t="s">
        <v>335</v>
      </c>
      <c r="B3" s="338"/>
      <c r="C3" s="338"/>
      <c r="D3" s="338"/>
      <c r="E3" s="338"/>
      <c r="F3" s="338"/>
      <c r="G3" s="338"/>
    </row>
    <row r="4" spans="1:7" s="238" customFormat="1" ht="18">
      <c r="A4" s="339" t="s">
        <v>49</v>
      </c>
      <c r="B4" s="339"/>
      <c r="C4" s="339"/>
      <c r="D4" s="339"/>
      <c r="E4" s="339"/>
      <c r="F4" s="339"/>
      <c r="G4" s="339"/>
    </row>
    <row r="5" spans="1:7" ht="15.75">
      <c r="A5" s="324" t="s">
        <v>7</v>
      </c>
      <c r="B5" s="324"/>
      <c r="C5" s="324"/>
      <c r="D5" s="324"/>
      <c r="E5" s="324"/>
      <c r="F5" s="324"/>
      <c r="G5" s="324"/>
    </row>
    <row r="6" spans="1:7" ht="15.75">
      <c r="A6" s="324" t="s">
        <v>20</v>
      </c>
      <c r="B6" s="324"/>
      <c r="C6" s="324"/>
      <c r="D6" s="324"/>
      <c r="E6" s="324"/>
      <c r="F6" s="324"/>
      <c r="G6" s="324"/>
    </row>
    <row r="7" spans="1:7" ht="15.75">
      <c r="A7" s="236"/>
      <c r="B7" s="236"/>
      <c r="C7" s="325" t="s">
        <v>184</v>
      </c>
      <c r="D7" s="325"/>
      <c r="E7" s="325"/>
      <c r="F7" s="325"/>
      <c r="G7" s="325"/>
    </row>
    <row r="8" spans="1:7" s="239" customFormat="1" ht="26.25" customHeight="1">
      <c r="A8" s="329" t="s">
        <v>19</v>
      </c>
      <c r="B8" s="331" t="s">
        <v>9</v>
      </c>
      <c r="C8" s="329" t="s">
        <v>14</v>
      </c>
      <c r="D8" s="329" t="s">
        <v>13</v>
      </c>
      <c r="E8" s="333" t="s">
        <v>16</v>
      </c>
      <c r="F8" s="334"/>
      <c r="G8" s="335"/>
    </row>
    <row r="9" spans="1:7" s="239" customFormat="1" ht="51.75" customHeight="1">
      <c r="A9" s="330"/>
      <c r="B9" s="332"/>
      <c r="C9" s="330"/>
      <c r="D9" s="330"/>
      <c r="E9" s="240" t="s">
        <v>47</v>
      </c>
      <c r="F9" s="240" t="s">
        <v>17</v>
      </c>
      <c r="G9" s="240" t="s">
        <v>18</v>
      </c>
    </row>
    <row r="10" spans="1:7" s="246" customFormat="1" ht="24.75" customHeight="1">
      <c r="A10" s="241" t="s">
        <v>1</v>
      </c>
      <c r="B10" s="242" t="s">
        <v>8</v>
      </c>
      <c r="C10" s="243">
        <f>C11</f>
        <v>65764925</v>
      </c>
      <c r="D10" s="243">
        <f>D11</f>
        <v>65764925</v>
      </c>
      <c r="E10" s="244"/>
      <c r="F10" s="244"/>
      <c r="G10" s="245"/>
    </row>
    <row r="11" spans="1:7" s="238" customFormat="1" ht="18">
      <c r="A11" s="214" t="s">
        <v>0</v>
      </c>
      <c r="B11" s="92" t="s">
        <v>2</v>
      </c>
      <c r="C11" s="249">
        <f>C12</f>
        <v>65764925</v>
      </c>
      <c r="D11" s="249">
        <f>D12</f>
        <v>65764925</v>
      </c>
      <c r="E11" s="250"/>
      <c r="F11" s="250"/>
      <c r="G11" s="251"/>
    </row>
    <row r="12" spans="1:7" s="238" customFormat="1" ht="18">
      <c r="A12" s="247">
        <v>1</v>
      </c>
      <c r="B12" s="248" t="s">
        <v>27</v>
      </c>
      <c r="C12" s="252">
        <f>C14</f>
        <v>65764925</v>
      </c>
      <c r="D12" s="252">
        <f>D14</f>
        <v>65764925</v>
      </c>
      <c r="E12" s="251"/>
      <c r="F12" s="251"/>
      <c r="G12" s="251"/>
    </row>
    <row r="13" spans="1:7" s="238" customFormat="1" ht="18">
      <c r="A13" s="247" t="s">
        <v>28</v>
      </c>
      <c r="B13" s="248" t="s">
        <v>29</v>
      </c>
      <c r="C13" s="253"/>
      <c r="D13" s="251"/>
      <c r="E13" s="251"/>
      <c r="F13" s="251"/>
      <c r="G13" s="251"/>
    </row>
    <row r="14" spans="1:7" s="238" customFormat="1" ht="18">
      <c r="A14" s="247"/>
      <c r="B14" s="248" t="s">
        <v>170</v>
      </c>
      <c r="C14" s="254">
        <f>C18</f>
        <v>65764925</v>
      </c>
      <c r="D14" s="255">
        <f>C14</f>
        <v>65764925</v>
      </c>
      <c r="E14" s="251"/>
      <c r="F14" s="251"/>
      <c r="G14" s="251"/>
    </row>
    <row r="15" spans="1:7" s="238" customFormat="1" ht="18">
      <c r="A15" s="247" t="s">
        <v>30</v>
      </c>
      <c r="B15" s="248" t="s">
        <v>31</v>
      </c>
      <c r="C15" s="254"/>
      <c r="D15" s="251"/>
      <c r="E15" s="251"/>
      <c r="F15" s="251"/>
      <c r="G15" s="251"/>
    </row>
    <row r="16" spans="1:7" ht="15.75">
      <c r="A16" s="247">
        <v>2</v>
      </c>
      <c r="B16" s="253" t="s">
        <v>3</v>
      </c>
      <c r="C16" s="254"/>
      <c r="D16" s="251"/>
      <c r="E16" s="251"/>
      <c r="F16" s="251"/>
      <c r="G16" s="256"/>
    </row>
    <row r="17" spans="1:16" ht="15.75">
      <c r="A17" s="247">
        <v>3</v>
      </c>
      <c r="B17" s="253" t="s">
        <v>4</v>
      </c>
      <c r="C17" s="254"/>
      <c r="D17" s="251"/>
      <c r="E17" s="251"/>
      <c r="F17" s="251"/>
      <c r="G17" s="256"/>
    </row>
    <row r="18" spans="1:16" ht="15.75">
      <c r="A18" s="214" t="s">
        <v>6</v>
      </c>
      <c r="B18" s="257" t="s">
        <v>45</v>
      </c>
      <c r="C18" s="258">
        <f>C33+C38+C40+C45+C56+C19+C22+C28</f>
        <v>65764925</v>
      </c>
      <c r="D18" s="258">
        <f>D33+D38+D40+D45+D56+D19+D22+D28</f>
        <v>65764925</v>
      </c>
      <c r="E18" s="251"/>
      <c r="F18" s="251"/>
      <c r="G18" s="256"/>
    </row>
    <row r="19" spans="1:16" ht="15.75">
      <c r="A19" s="42">
        <v>6000</v>
      </c>
      <c r="B19" s="43" t="s">
        <v>89</v>
      </c>
      <c r="C19" s="51">
        <f>C20+C21</f>
        <v>40405500</v>
      </c>
      <c r="D19" s="51">
        <f>D20+D21</f>
        <v>40405500</v>
      </c>
      <c r="E19" s="256"/>
      <c r="F19" s="256"/>
      <c r="G19" s="256"/>
      <c r="I19" s="323"/>
      <c r="J19" s="323"/>
      <c r="K19" s="270"/>
      <c r="N19" s="237" t="s">
        <v>337</v>
      </c>
      <c r="P19" s="291"/>
    </row>
    <row r="20" spans="1:16" ht="15.75">
      <c r="A20" s="36">
        <v>6001</v>
      </c>
      <c r="B20" s="202" t="s">
        <v>165</v>
      </c>
      <c r="C20" s="38">
        <f>8635500+8750700+8693100</f>
        <v>26079300</v>
      </c>
      <c r="D20" s="38">
        <f>C20</f>
        <v>26079300</v>
      </c>
      <c r="E20" s="256"/>
      <c r="F20" s="256"/>
      <c r="G20" s="256"/>
      <c r="I20" s="270"/>
      <c r="J20" s="270"/>
      <c r="K20" s="270"/>
    </row>
    <row r="21" spans="1:16" ht="15.75">
      <c r="A21" s="39">
        <v>6003</v>
      </c>
      <c r="B21" s="202" t="s">
        <v>91</v>
      </c>
      <c r="C21" s="38">
        <f>4999500+4918500+4408200</f>
        <v>14326200</v>
      </c>
      <c r="D21" s="38">
        <f t="shared" ref="D21:D32" si="0">C21</f>
        <v>14326200</v>
      </c>
      <c r="E21" s="256"/>
      <c r="F21" s="256"/>
      <c r="G21" s="256"/>
      <c r="I21" s="271"/>
      <c r="J21" s="270"/>
      <c r="K21" s="270"/>
    </row>
    <row r="22" spans="1:16" ht="15.75">
      <c r="A22" s="42">
        <v>6100</v>
      </c>
      <c r="B22" s="43" t="s">
        <v>93</v>
      </c>
      <c r="C22" s="51">
        <f>SUM(C23:C27)</f>
        <v>15339937</v>
      </c>
      <c r="D22" s="51">
        <f>SUM(D23:D27)</f>
        <v>15339937</v>
      </c>
      <c r="E22" s="256"/>
      <c r="F22" s="256"/>
      <c r="G22" s="256"/>
      <c r="I22" s="270"/>
      <c r="J22" s="270"/>
      <c r="K22" s="270"/>
    </row>
    <row r="23" spans="1:16" ht="15.75">
      <c r="A23" s="36">
        <v>6101</v>
      </c>
      <c r="B23" s="37" t="s">
        <v>94</v>
      </c>
      <c r="C23" s="38">
        <f>265500*3</f>
        <v>796500</v>
      </c>
      <c r="D23" s="38">
        <f t="shared" ref="D23:D32" si="1">C23</f>
        <v>796500</v>
      </c>
      <c r="E23" s="256"/>
      <c r="F23" s="256"/>
      <c r="G23" s="256"/>
      <c r="I23" s="270"/>
      <c r="J23" s="270"/>
      <c r="K23" s="270"/>
    </row>
    <row r="24" spans="1:16" ht="15.75">
      <c r="A24" s="36">
        <v>6107</v>
      </c>
      <c r="B24" s="37" t="s">
        <v>95</v>
      </c>
      <c r="C24" s="38">
        <f>36000*3</f>
        <v>108000</v>
      </c>
      <c r="D24" s="38">
        <f t="shared" si="1"/>
        <v>108000</v>
      </c>
      <c r="E24" s="256"/>
      <c r="F24" s="256"/>
      <c r="G24" s="256"/>
      <c r="I24" s="270"/>
      <c r="J24" s="270"/>
      <c r="K24" s="270"/>
    </row>
    <row r="25" spans="1:16" ht="15.75">
      <c r="A25" s="39">
        <v>6112</v>
      </c>
      <c r="B25" s="37" t="s">
        <v>96</v>
      </c>
      <c r="C25" s="38">
        <f>2978000+2980170+2953980</f>
        <v>8912150</v>
      </c>
      <c r="D25" s="38">
        <f t="shared" si="1"/>
        <v>8912150</v>
      </c>
      <c r="E25" s="256"/>
      <c r="F25" s="256"/>
      <c r="G25" s="256"/>
      <c r="I25" s="270"/>
      <c r="J25" s="270"/>
      <c r="K25" s="270"/>
    </row>
    <row r="26" spans="1:16" ht="15.75">
      <c r="A26" s="39">
        <v>6113</v>
      </c>
      <c r="B26" s="37" t="s">
        <v>97</v>
      </c>
      <c r="C26" s="38">
        <f>9000*3</f>
        <v>27000</v>
      </c>
      <c r="D26" s="38">
        <f t="shared" si="1"/>
        <v>27000</v>
      </c>
      <c r="E26" s="256"/>
      <c r="F26" s="256"/>
      <c r="G26" s="256"/>
    </row>
    <row r="27" spans="1:16" ht="15.75">
      <c r="A27" s="39">
        <v>6115</v>
      </c>
      <c r="B27" s="37" t="s">
        <v>302</v>
      </c>
      <c r="C27" s="38">
        <f>1831997+1819829+1844461</f>
        <v>5496287</v>
      </c>
      <c r="D27" s="38">
        <f t="shared" si="1"/>
        <v>5496287</v>
      </c>
      <c r="E27" s="256"/>
      <c r="F27" s="256"/>
      <c r="G27" s="256"/>
    </row>
    <row r="28" spans="1:16" ht="15.75">
      <c r="A28" s="42">
        <v>6300</v>
      </c>
      <c r="B28" s="43" t="s">
        <v>100</v>
      </c>
      <c r="C28" s="51">
        <f>SUM(C29:C32)</f>
        <v>10019488</v>
      </c>
      <c r="D28" s="51">
        <f>SUM(D29:D32)</f>
        <v>10019488</v>
      </c>
      <c r="E28" s="256"/>
      <c r="F28" s="256"/>
      <c r="G28" s="256"/>
    </row>
    <row r="29" spans="1:16" ht="15.75">
      <c r="A29" s="36">
        <v>6301</v>
      </c>
      <c r="B29" s="37" t="s">
        <v>101</v>
      </c>
      <c r="C29" s="38">
        <f>2753188+2661971+2757043</f>
        <v>8172202</v>
      </c>
      <c r="D29" s="38">
        <f t="shared" ref="D29:D32" si="2">C29</f>
        <v>8172202</v>
      </c>
      <c r="E29" s="256"/>
      <c r="F29" s="256"/>
      <c r="G29" s="256"/>
    </row>
    <row r="30" spans="1:16" ht="15.75">
      <c r="A30" s="36">
        <v>6302</v>
      </c>
      <c r="B30" s="37" t="s">
        <v>102</v>
      </c>
      <c r="C30" s="38">
        <f>471975+472636+456338</f>
        <v>1400949</v>
      </c>
      <c r="D30" s="38">
        <f t="shared" si="2"/>
        <v>1400949</v>
      </c>
      <c r="E30" s="256"/>
      <c r="F30" s="256"/>
      <c r="G30" s="256"/>
    </row>
    <row r="31" spans="1:16" ht="15.75" hidden="1">
      <c r="A31" s="36">
        <v>6303</v>
      </c>
      <c r="B31" s="37" t="s">
        <v>103</v>
      </c>
      <c r="C31" s="38"/>
      <c r="D31" s="38">
        <f t="shared" si="2"/>
        <v>0</v>
      </c>
      <c r="E31" s="256"/>
      <c r="F31" s="256"/>
      <c r="G31" s="256"/>
    </row>
    <row r="32" spans="1:16" ht="15.75">
      <c r="A32" s="36">
        <v>6304</v>
      </c>
      <c r="B32" s="37" t="s">
        <v>104</v>
      </c>
      <c r="C32" s="38">
        <f>150460+150681+145196</f>
        <v>446337</v>
      </c>
      <c r="D32" s="38">
        <f t="shared" si="2"/>
        <v>446337</v>
      </c>
      <c r="E32" s="256"/>
      <c r="F32" s="256"/>
      <c r="G32" s="256"/>
    </row>
    <row r="33" spans="1:7" s="260" customFormat="1" ht="17.25" hidden="1">
      <c r="A33" s="198">
        <v>6550</v>
      </c>
      <c r="B33" s="199"/>
      <c r="C33" s="200">
        <f>SUM(C34:C37)</f>
        <v>0</v>
      </c>
      <c r="D33" s="200">
        <f>SUM(D34:D37)</f>
        <v>0</v>
      </c>
      <c r="E33" s="251"/>
      <c r="F33" s="251"/>
      <c r="G33" s="259"/>
    </row>
    <row r="34" spans="1:7" s="260" customFormat="1" ht="17.25" hidden="1" customHeight="1">
      <c r="A34" s="201">
        <v>6551</v>
      </c>
      <c r="B34" s="202" t="s">
        <v>172</v>
      </c>
      <c r="C34" s="203">
        <v>0</v>
      </c>
      <c r="D34" s="255">
        <f t="shared" ref="D34:D63" si="3">C34</f>
        <v>0</v>
      </c>
      <c r="E34" s="251"/>
      <c r="F34" s="251"/>
      <c r="G34" s="259"/>
    </row>
    <row r="35" spans="1:7" s="260" customFormat="1" ht="17.25" hidden="1" customHeight="1">
      <c r="A35" s="201">
        <v>6551</v>
      </c>
      <c r="B35" s="202" t="s">
        <v>172</v>
      </c>
      <c r="C35" s="203">
        <v>0</v>
      </c>
      <c r="D35" s="255">
        <f t="shared" si="3"/>
        <v>0</v>
      </c>
      <c r="E35" s="251"/>
      <c r="F35" s="251"/>
      <c r="G35" s="259"/>
    </row>
    <row r="36" spans="1:7" s="260" customFormat="1" ht="17.25" hidden="1">
      <c r="A36" s="201">
        <v>6599</v>
      </c>
      <c r="B36" s="202" t="s">
        <v>110</v>
      </c>
      <c r="C36" s="203">
        <v>0</v>
      </c>
      <c r="D36" s="255">
        <f t="shared" si="3"/>
        <v>0</v>
      </c>
      <c r="E36" s="251"/>
      <c r="F36" s="251"/>
      <c r="G36" s="259"/>
    </row>
    <row r="37" spans="1:7" s="260" customFormat="1" ht="17.25" hidden="1" customHeight="1">
      <c r="A37" s="201">
        <v>6599</v>
      </c>
      <c r="B37" s="202" t="s">
        <v>110</v>
      </c>
      <c r="C37" s="203">
        <v>0</v>
      </c>
      <c r="D37" s="255">
        <f t="shared" si="3"/>
        <v>0</v>
      </c>
      <c r="E37" s="251"/>
      <c r="F37" s="251"/>
      <c r="G37" s="259"/>
    </row>
    <row r="38" spans="1:7" s="260" customFormat="1" ht="17.25" hidden="1" customHeight="1">
      <c r="A38" s="198">
        <v>6600</v>
      </c>
      <c r="B38" s="202"/>
      <c r="C38" s="74">
        <f>C39</f>
        <v>0</v>
      </c>
      <c r="D38" s="74">
        <f>D39</f>
        <v>0</v>
      </c>
      <c r="E38" s="251"/>
      <c r="F38" s="251"/>
      <c r="G38" s="259"/>
    </row>
    <row r="39" spans="1:7" s="260" customFormat="1" ht="17.25" hidden="1" customHeight="1">
      <c r="A39" s="201">
        <v>6649</v>
      </c>
      <c r="B39" s="202" t="s">
        <v>173</v>
      </c>
      <c r="C39" s="204"/>
      <c r="D39" s="261">
        <f t="shared" si="3"/>
        <v>0</v>
      </c>
      <c r="E39" s="251"/>
      <c r="F39" s="251"/>
      <c r="G39" s="259"/>
    </row>
    <row r="40" spans="1:7" s="260" customFormat="1" ht="17.25" hidden="1" customHeight="1">
      <c r="A40" s="198">
        <v>6750</v>
      </c>
      <c r="B40" s="202"/>
      <c r="C40" s="74">
        <f>SUM(C41:C44)</f>
        <v>0</v>
      </c>
      <c r="D40" s="74">
        <f>SUM(D41:D44)</f>
        <v>0</v>
      </c>
      <c r="E40" s="251"/>
      <c r="F40" s="251"/>
      <c r="G40" s="259"/>
    </row>
    <row r="41" spans="1:7" s="260" customFormat="1" ht="17.25" hidden="1" customHeight="1">
      <c r="A41" s="205">
        <v>6751</v>
      </c>
      <c r="B41" s="202" t="s">
        <v>175</v>
      </c>
      <c r="C41" s="204"/>
      <c r="D41" s="261">
        <f t="shared" si="3"/>
        <v>0</v>
      </c>
      <c r="E41" s="251"/>
      <c r="F41" s="251"/>
      <c r="G41" s="259"/>
    </row>
    <row r="42" spans="1:7" s="260" customFormat="1" ht="17.25" hidden="1" customHeight="1">
      <c r="A42" s="205">
        <v>6751</v>
      </c>
      <c r="B42" s="202" t="s">
        <v>176</v>
      </c>
      <c r="C42" s="204"/>
      <c r="D42" s="261">
        <f t="shared" si="3"/>
        <v>0</v>
      </c>
      <c r="E42" s="251"/>
      <c r="F42" s="251"/>
      <c r="G42" s="259"/>
    </row>
    <row r="43" spans="1:7" s="260" customFormat="1" ht="17.25" hidden="1" customHeight="1">
      <c r="A43" s="205">
        <v>6751</v>
      </c>
      <c r="B43" s="202" t="s">
        <v>176</v>
      </c>
      <c r="C43" s="204"/>
      <c r="D43" s="261">
        <f t="shared" si="3"/>
        <v>0</v>
      </c>
      <c r="E43" s="251"/>
      <c r="F43" s="251"/>
      <c r="G43" s="259"/>
    </row>
    <row r="44" spans="1:7" s="260" customFormat="1" ht="17.25" hidden="1" customHeight="1">
      <c r="A44" s="205">
        <v>6751</v>
      </c>
      <c r="B44" s="202" t="s">
        <v>177</v>
      </c>
      <c r="C44" s="204"/>
      <c r="D44" s="261">
        <f t="shared" si="3"/>
        <v>0</v>
      </c>
      <c r="E44" s="251"/>
      <c r="F44" s="251"/>
      <c r="G44" s="259"/>
    </row>
    <row r="45" spans="1:7" s="260" customFormat="1" ht="18" hidden="1">
      <c r="A45" s="198">
        <v>6900</v>
      </c>
      <c r="B45" s="199" t="s">
        <v>174</v>
      </c>
      <c r="C45" s="206">
        <f>SUM(C46:C55)</f>
        <v>0</v>
      </c>
      <c r="D45" s="206">
        <f>SUM(D46:D55)</f>
        <v>0</v>
      </c>
      <c r="E45" s="251"/>
      <c r="F45" s="251"/>
      <c r="G45" s="259"/>
    </row>
    <row r="46" spans="1:7" s="260" customFormat="1" ht="17.25" hidden="1" customHeight="1">
      <c r="A46" s="201">
        <v>6912</v>
      </c>
      <c r="B46" s="202" t="s">
        <v>178</v>
      </c>
      <c r="C46" s="204"/>
      <c r="D46" s="261">
        <f t="shared" si="3"/>
        <v>0</v>
      </c>
      <c r="E46" s="251"/>
      <c r="F46" s="251"/>
      <c r="G46" s="259"/>
    </row>
    <row r="47" spans="1:7" s="260" customFormat="1" ht="17.25" hidden="1" customHeight="1">
      <c r="A47" s="201">
        <v>6912</v>
      </c>
      <c r="B47" s="202" t="s">
        <v>179</v>
      </c>
      <c r="C47" s="204"/>
      <c r="D47" s="261">
        <f t="shared" si="3"/>
        <v>0</v>
      </c>
      <c r="E47" s="251"/>
      <c r="F47" s="251"/>
      <c r="G47" s="259"/>
    </row>
    <row r="48" spans="1:7" s="260" customFormat="1" ht="17.25" hidden="1">
      <c r="A48" s="201">
        <v>6917</v>
      </c>
      <c r="B48" s="207" t="s">
        <v>292</v>
      </c>
      <c r="C48" s="204">
        <v>0</v>
      </c>
      <c r="D48" s="261">
        <f t="shared" si="3"/>
        <v>0</v>
      </c>
      <c r="E48" s="251"/>
      <c r="F48" s="251"/>
      <c r="G48" s="259"/>
    </row>
    <row r="49" spans="1:11" s="260" customFormat="1" ht="17.25" hidden="1">
      <c r="A49" s="201">
        <v>6917</v>
      </c>
      <c r="B49" s="207" t="s">
        <v>293</v>
      </c>
      <c r="C49" s="204">
        <v>0</v>
      </c>
      <c r="D49" s="261">
        <f t="shared" si="3"/>
        <v>0</v>
      </c>
      <c r="E49" s="251"/>
      <c r="F49" s="251"/>
      <c r="G49" s="259"/>
    </row>
    <row r="50" spans="1:11" s="260" customFormat="1" ht="17.25" hidden="1">
      <c r="A50" s="201">
        <v>6921</v>
      </c>
      <c r="B50" s="207" t="s">
        <v>294</v>
      </c>
      <c r="C50" s="203">
        <v>0</v>
      </c>
      <c r="D50" s="261">
        <f t="shared" si="3"/>
        <v>0</v>
      </c>
      <c r="E50" s="251"/>
      <c r="F50" s="251"/>
      <c r="G50" s="259"/>
    </row>
    <row r="51" spans="1:11" s="260" customFormat="1" ht="17.25" hidden="1">
      <c r="A51" s="201">
        <v>6921</v>
      </c>
      <c r="B51" s="207" t="s">
        <v>295</v>
      </c>
      <c r="C51" s="203">
        <v>0</v>
      </c>
      <c r="D51" s="261">
        <f t="shared" si="3"/>
        <v>0</v>
      </c>
      <c r="E51" s="251"/>
      <c r="F51" s="251"/>
      <c r="G51" s="259"/>
    </row>
    <row r="52" spans="1:11" s="260" customFormat="1" ht="17.25" hidden="1">
      <c r="A52" s="201">
        <v>6921</v>
      </c>
      <c r="B52" s="207" t="s">
        <v>294</v>
      </c>
      <c r="C52" s="203">
        <v>0</v>
      </c>
      <c r="D52" s="261">
        <f t="shared" si="3"/>
        <v>0</v>
      </c>
      <c r="E52" s="251"/>
      <c r="F52" s="251"/>
      <c r="G52" s="259"/>
    </row>
    <row r="53" spans="1:11" s="260" customFormat="1" ht="17.25" hidden="1">
      <c r="A53" s="201">
        <v>6921</v>
      </c>
      <c r="B53" s="207" t="s">
        <v>294</v>
      </c>
      <c r="C53" s="203">
        <v>0</v>
      </c>
      <c r="D53" s="261">
        <f t="shared" si="3"/>
        <v>0</v>
      </c>
      <c r="E53" s="251"/>
      <c r="F53" s="251"/>
      <c r="G53" s="259"/>
    </row>
    <row r="54" spans="1:11" s="260" customFormat="1" ht="17.25" hidden="1" customHeight="1">
      <c r="A54" s="201">
        <v>6949</v>
      </c>
      <c r="B54" s="202" t="s">
        <v>180</v>
      </c>
      <c r="C54" s="204"/>
      <c r="D54" s="261">
        <f t="shared" si="3"/>
        <v>0</v>
      </c>
      <c r="E54" s="251"/>
      <c r="F54" s="251"/>
      <c r="G54" s="259"/>
    </row>
    <row r="55" spans="1:11" s="260" customFormat="1" ht="47.25" hidden="1" customHeight="1">
      <c r="A55" s="208">
        <v>6949</v>
      </c>
      <c r="B55" s="209" t="s">
        <v>181</v>
      </c>
      <c r="C55" s="204"/>
      <c r="D55" s="261">
        <f t="shared" si="3"/>
        <v>0</v>
      </c>
      <c r="E55" s="251"/>
      <c r="F55" s="251"/>
      <c r="G55" s="259"/>
    </row>
    <row r="56" spans="1:11" s="260" customFormat="1" ht="17.25" hidden="1">
      <c r="A56" s="198">
        <v>7000</v>
      </c>
      <c r="B56" s="199" t="s">
        <v>171</v>
      </c>
      <c r="C56" s="210">
        <f>SUM(C57:C63)</f>
        <v>0</v>
      </c>
      <c r="D56" s="210">
        <f>SUM(D57:D63)</f>
        <v>0</v>
      </c>
      <c r="E56" s="251"/>
      <c r="F56" s="251"/>
      <c r="G56" s="259"/>
    </row>
    <row r="57" spans="1:11" s="260" customFormat="1" ht="34.5" hidden="1">
      <c r="A57" s="201">
        <v>7001</v>
      </c>
      <c r="B57" s="211" t="s">
        <v>296</v>
      </c>
      <c r="C57" s="203">
        <v>0</v>
      </c>
      <c r="D57" s="261">
        <f t="shared" si="3"/>
        <v>0</v>
      </c>
      <c r="E57" s="251"/>
      <c r="F57" s="251"/>
      <c r="G57" s="259"/>
    </row>
    <row r="58" spans="1:11" s="260" customFormat="1" ht="17.25" hidden="1">
      <c r="A58" s="201">
        <v>7001</v>
      </c>
      <c r="B58" s="207" t="s">
        <v>297</v>
      </c>
      <c r="C58" s="203">
        <v>0</v>
      </c>
      <c r="D58" s="261">
        <f t="shared" si="3"/>
        <v>0</v>
      </c>
      <c r="E58" s="251"/>
      <c r="F58" s="251"/>
      <c r="G58" s="259"/>
    </row>
    <row r="59" spans="1:11" s="260" customFormat="1" ht="17.25" hidden="1">
      <c r="A59" s="201">
        <v>7001</v>
      </c>
      <c r="B59" s="207" t="s">
        <v>298</v>
      </c>
      <c r="C59" s="203">
        <v>0</v>
      </c>
      <c r="D59" s="261">
        <f t="shared" si="3"/>
        <v>0</v>
      </c>
      <c r="E59" s="251"/>
      <c r="F59" s="251"/>
      <c r="G59" s="259"/>
    </row>
    <row r="60" spans="1:11" s="260" customFormat="1" ht="17.25" hidden="1">
      <c r="A60" s="201">
        <v>7001</v>
      </c>
      <c r="B60" s="207" t="s">
        <v>298</v>
      </c>
      <c r="C60" s="203">
        <v>0</v>
      </c>
      <c r="D60" s="261">
        <f t="shared" si="3"/>
        <v>0</v>
      </c>
      <c r="E60" s="251"/>
      <c r="F60" s="251"/>
      <c r="G60" s="259"/>
    </row>
    <row r="61" spans="1:11" s="262" customFormat="1" ht="18" hidden="1" customHeight="1">
      <c r="A61" s="212">
        <v>7012</v>
      </c>
      <c r="B61" s="207" t="s">
        <v>299</v>
      </c>
      <c r="C61" s="203">
        <v>0</v>
      </c>
      <c r="D61" s="261">
        <f t="shared" si="3"/>
        <v>0</v>
      </c>
      <c r="E61" s="251"/>
      <c r="F61" s="251"/>
      <c r="G61" s="259"/>
    </row>
    <row r="62" spans="1:11" s="238" customFormat="1" ht="18.75" hidden="1">
      <c r="A62" s="212">
        <v>7012</v>
      </c>
      <c r="B62" s="207" t="s">
        <v>300</v>
      </c>
      <c r="C62" s="203">
        <v>0</v>
      </c>
      <c r="D62" s="255">
        <f t="shared" si="3"/>
        <v>0</v>
      </c>
      <c r="E62" s="251"/>
      <c r="F62" s="251"/>
      <c r="G62" s="259"/>
    </row>
    <row r="63" spans="1:11" s="238" customFormat="1" ht="18.75" hidden="1">
      <c r="A63" s="212">
        <v>7049</v>
      </c>
      <c r="B63" s="211" t="s">
        <v>301</v>
      </c>
      <c r="C63" s="213">
        <v>0</v>
      </c>
      <c r="D63" s="255">
        <f t="shared" si="3"/>
        <v>0</v>
      </c>
      <c r="E63" s="251"/>
      <c r="F63" s="251"/>
      <c r="G63" s="259"/>
    </row>
    <row r="64" spans="1:11" s="263" customFormat="1" ht="30.75" customHeight="1">
      <c r="A64" s="241" t="s">
        <v>5</v>
      </c>
      <c r="B64" s="242" t="s">
        <v>15</v>
      </c>
      <c r="C64" s="240"/>
      <c r="D64" s="245"/>
      <c r="E64" s="245"/>
      <c r="F64" s="245"/>
      <c r="G64" s="245"/>
      <c r="I64" s="264"/>
      <c r="J64" s="264"/>
      <c r="K64" s="264"/>
    </row>
    <row r="65" spans="1:16" s="267" customFormat="1" ht="39" customHeight="1">
      <c r="A65" s="214" t="s">
        <v>28</v>
      </c>
      <c r="B65" s="92" t="s">
        <v>39</v>
      </c>
      <c r="C65" s="265">
        <f>C66+C81</f>
        <v>1137020291</v>
      </c>
      <c r="D65" s="265">
        <f>D66+D81</f>
        <v>1137020291</v>
      </c>
      <c r="E65" s="266"/>
      <c r="F65" s="266"/>
      <c r="G65" s="266"/>
      <c r="I65" s="268"/>
      <c r="J65" s="269"/>
      <c r="K65" s="269"/>
    </row>
    <row r="66" spans="1:16" ht="15.75">
      <c r="A66" s="214"/>
      <c r="B66" s="215" t="s">
        <v>88</v>
      </c>
      <c r="C66" s="216">
        <f>C67+C70+C76</f>
        <v>986178759</v>
      </c>
      <c r="D66" s="216">
        <f>D67+D70+D76</f>
        <v>986178759</v>
      </c>
      <c r="E66" s="251"/>
      <c r="F66" s="251"/>
      <c r="G66" s="251"/>
      <c r="I66" s="270"/>
      <c r="J66" s="270"/>
      <c r="K66" s="270"/>
    </row>
    <row r="67" spans="1:16" ht="15.75">
      <c r="A67" s="42">
        <v>6000</v>
      </c>
      <c r="B67" s="43" t="s">
        <v>89</v>
      </c>
      <c r="C67" s="51">
        <f>C68+C69</f>
        <v>597091900</v>
      </c>
      <c r="D67" s="51">
        <f>D68+D69</f>
        <v>597091900</v>
      </c>
      <c r="E67" s="256"/>
      <c r="F67" s="256"/>
      <c r="G67" s="256"/>
      <c r="I67" s="323"/>
      <c r="J67" s="323"/>
      <c r="K67" s="270"/>
      <c r="N67" s="237" t="s">
        <v>337</v>
      </c>
      <c r="P67" s="291"/>
    </row>
    <row r="68" spans="1:16" ht="15.75">
      <c r="A68" s="36">
        <v>6001</v>
      </c>
      <c r="B68" s="202" t="s">
        <v>165</v>
      </c>
      <c r="C68" s="38">
        <v>386400900</v>
      </c>
      <c r="D68" s="38">
        <f>C68</f>
        <v>386400900</v>
      </c>
      <c r="E68" s="256"/>
      <c r="F68" s="256"/>
      <c r="G68" s="256"/>
      <c r="I68" s="270"/>
      <c r="J68" s="270"/>
      <c r="K68" s="270"/>
    </row>
    <row r="69" spans="1:16" ht="15.75">
      <c r="A69" s="39">
        <v>6003</v>
      </c>
      <c r="B69" s="202" t="s">
        <v>91</v>
      </c>
      <c r="C69" s="38">
        <v>210691000</v>
      </c>
      <c r="D69" s="38">
        <f t="shared" ref="D69:D142" si="4">C69</f>
        <v>210691000</v>
      </c>
      <c r="E69" s="256"/>
      <c r="F69" s="256"/>
      <c r="G69" s="256"/>
      <c r="I69" s="271"/>
      <c r="J69" s="270"/>
      <c r="K69" s="270"/>
    </row>
    <row r="70" spans="1:16" ht="15.75">
      <c r="A70" s="42">
        <v>6100</v>
      </c>
      <c r="B70" s="43" t="s">
        <v>93</v>
      </c>
      <c r="C70" s="51">
        <f>SUM(C71:C75)</f>
        <v>227311756</v>
      </c>
      <c r="D70" s="51">
        <f>SUM(D71:D75)</f>
        <v>227311756</v>
      </c>
      <c r="E70" s="256"/>
      <c r="F70" s="256"/>
      <c r="G70" s="256"/>
      <c r="I70" s="270"/>
      <c r="J70" s="270"/>
      <c r="K70" s="270"/>
    </row>
    <row r="71" spans="1:16" ht="15.75">
      <c r="A71" s="36">
        <v>6101</v>
      </c>
      <c r="B71" s="37" t="s">
        <v>94</v>
      </c>
      <c r="C71" s="38">
        <v>11505000</v>
      </c>
      <c r="D71" s="38">
        <f t="shared" si="4"/>
        <v>11505000</v>
      </c>
      <c r="E71" s="256"/>
      <c r="F71" s="256"/>
      <c r="G71" s="256"/>
      <c r="I71" s="270"/>
      <c r="J71" s="270"/>
      <c r="K71" s="270"/>
    </row>
    <row r="72" spans="1:16" ht="15.75">
      <c r="A72" s="36">
        <v>6107</v>
      </c>
      <c r="B72" s="37" t="s">
        <v>95</v>
      </c>
      <c r="C72" s="38">
        <v>1560000</v>
      </c>
      <c r="D72" s="38">
        <f t="shared" si="4"/>
        <v>1560000</v>
      </c>
      <c r="E72" s="256"/>
      <c r="F72" s="256"/>
      <c r="G72" s="256"/>
      <c r="I72" s="270"/>
      <c r="J72" s="270"/>
      <c r="K72" s="270"/>
    </row>
    <row r="73" spans="1:16" ht="15.75">
      <c r="A73" s="39">
        <v>6112</v>
      </c>
      <c r="B73" s="37" t="s">
        <v>96</v>
      </c>
      <c r="C73" s="38">
        <v>132779970</v>
      </c>
      <c r="D73" s="38">
        <f t="shared" si="4"/>
        <v>132779970</v>
      </c>
      <c r="E73" s="256"/>
      <c r="F73" s="256"/>
      <c r="G73" s="256"/>
      <c r="I73" s="270"/>
      <c r="J73" s="270"/>
      <c r="K73" s="270"/>
    </row>
    <row r="74" spans="1:16" ht="15.75">
      <c r="A74" s="39">
        <v>6113</v>
      </c>
      <c r="B74" s="37" t="s">
        <v>97</v>
      </c>
      <c r="C74" s="38">
        <v>390000</v>
      </c>
      <c r="D74" s="38">
        <f t="shared" si="4"/>
        <v>390000</v>
      </c>
      <c r="E74" s="256"/>
      <c r="F74" s="256"/>
      <c r="G74" s="256"/>
    </row>
    <row r="75" spans="1:16" ht="15.75">
      <c r="A75" s="39">
        <v>6115</v>
      </c>
      <c r="B75" s="37" t="s">
        <v>302</v>
      </c>
      <c r="C75" s="38">
        <v>81076786</v>
      </c>
      <c r="D75" s="38">
        <f t="shared" si="4"/>
        <v>81076786</v>
      </c>
      <c r="E75" s="256"/>
      <c r="F75" s="256"/>
      <c r="G75" s="256"/>
    </row>
    <row r="76" spans="1:16" ht="15.75">
      <c r="A76" s="42">
        <v>6300</v>
      </c>
      <c r="B76" s="43" t="s">
        <v>100</v>
      </c>
      <c r="C76" s="51">
        <f>SUM(C77:C80)</f>
        <v>161775103</v>
      </c>
      <c r="D76" s="51">
        <f>SUM(D77:D80)</f>
        <v>161775103</v>
      </c>
      <c r="E76" s="256"/>
      <c r="F76" s="256"/>
      <c r="G76" s="256"/>
    </row>
    <row r="77" spans="1:16" ht="15.75">
      <c r="A77" s="36">
        <v>6301</v>
      </c>
      <c r="B77" s="37" t="s">
        <v>101</v>
      </c>
      <c r="C77" s="38">
        <v>120692895</v>
      </c>
      <c r="D77" s="38">
        <f t="shared" si="4"/>
        <v>120692895</v>
      </c>
      <c r="E77" s="256"/>
      <c r="F77" s="256"/>
      <c r="G77" s="256"/>
    </row>
    <row r="78" spans="1:16" ht="15.75">
      <c r="A78" s="36">
        <v>6302</v>
      </c>
      <c r="B78" s="37" t="s">
        <v>102</v>
      </c>
      <c r="C78" s="38">
        <v>20690210</v>
      </c>
      <c r="D78" s="38">
        <f t="shared" si="4"/>
        <v>20690210</v>
      </c>
      <c r="E78" s="256"/>
      <c r="F78" s="256"/>
      <c r="G78" s="256"/>
    </row>
    <row r="79" spans="1:16" ht="15.75">
      <c r="A79" s="36">
        <v>6303</v>
      </c>
      <c r="B79" s="37" t="s">
        <v>103</v>
      </c>
      <c r="C79" s="38">
        <v>13793474</v>
      </c>
      <c r="D79" s="38">
        <f t="shared" si="4"/>
        <v>13793474</v>
      </c>
      <c r="E79" s="256"/>
      <c r="F79" s="256"/>
      <c r="G79" s="256"/>
    </row>
    <row r="80" spans="1:16" ht="15.75">
      <c r="A80" s="36">
        <v>6304</v>
      </c>
      <c r="B80" s="37" t="s">
        <v>104</v>
      </c>
      <c r="C80" s="38">
        <v>6598524</v>
      </c>
      <c r="D80" s="38">
        <f t="shared" si="4"/>
        <v>6598524</v>
      </c>
      <c r="E80" s="256"/>
      <c r="F80" s="256"/>
      <c r="G80" s="256"/>
    </row>
    <row r="81" spans="1:7" ht="15.75">
      <c r="A81" s="45"/>
      <c r="B81" s="46" t="s">
        <v>105</v>
      </c>
      <c r="C81" s="47">
        <f>C82+C85+C88+C92+C96+C102+C108+C113+C120+C125+C128</f>
        <v>150841532</v>
      </c>
      <c r="D81" s="47">
        <f>D82+D85+D88+D92+D96+D102+D108+D113+D120+D125+D128</f>
        <v>150841532</v>
      </c>
      <c r="E81" s="256"/>
      <c r="F81" s="256"/>
      <c r="G81" s="256"/>
    </row>
    <row r="82" spans="1:7" ht="15.75">
      <c r="A82" s="42">
        <v>6250</v>
      </c>
      <c r="B82" s="43" t="s">
        <v>303</v>
      </c>
      <c r="C82" s="51">
        <f>SUM(C83:C84)</f>
        <v>0</v>
      </c>
      <c r="D82" s="51">
        <f>SUM(D83:D84)</f>
        <v>0</v>
      </c>
      <c r="E82" s="256"/>
      <c r="F82" s="282"/>
      <c r="G82" s="256"/>
    </row>
    <row r="83" spans="1:7" ht="15.75">
      <c r="A83" s="36">
        <v>6299</v>
      </c>
      <c r="B83" s="37" t="s">
        <v>304</v>
      </c>
      <c r="C83" s="38">
        <v>0</v>
      </c>
      <c r="D83" s="38">
        <f t="shared" ref="D83:D84" si="5">C83</f>
        <v>0</v>
      </c>
      <c r="E83" s="256"/>
      <c r="F83" s="256"/>
      <c r="G83" s="256"/>
    </row>
    <row r="84" spans="1:7" ht="15.75">
      <c r="A84" s="36"/>
      <c r="B84" s="37"/>
      <c r="C84" s="38"/>
      <c r="D84" s="38">
        <f t="shared" si="5"/>
        <v>0</v>
      </c>
      <c r="E84" s="256"/>
      <c r="F84" s="256"/>
      <c r="G84" s="256"/>
    </row>
    <row r="85" spans="1:7" ht="15.75">
      <c r="A85" s="49">
        <v>6400</v>
      </c>
      <c r="B85" s="50" t="s">
        <v>88</v>
      </c>
      <c r="C85" s="51">
        <f>SUM(C86:C87)</f>
        <v>51204000</v>
      </c>
      <c r="D85" s="51">
        <f>SUM(D86:D87)</f>
        <v>51204000</v>
      </c>
      <c r="E85" s="256"/>
      <c r="F85" s="256"/>
      <c r="G85" s="256"/>
    </row>
    <row r="86" spans="1:7" ht="15.75">
      <c r="A86" s="39">
        <v>6404</v>
      </c>
      <c r="B86" s="75" t="s">
        <v>183</v>
      </c>
      <c r="C86" s="38">
        <v>45900000</v>
      </c>
      <c r="D86" s="38">
        <f t="shared" si="4"/>
        <v>45900000</v>
      </c>
      <c r="E86" s="256"/>
      <c r="F86" s="256"/>
      <c r="G86" s="256"/>
    </row>
    <row r="87" spans="1:7" ht="15.75">
      <c r="A87" s="36">
        <v>6449</v>
      </c>
      <c r="B87" s="37" t="s">
        <v>106</v>
      </c>
      <c r="C87" s="38">
        <v>5304000</v>
      </c>
      <c r="D87" s="38">
        <f t="shared" si="4"/>
        <v>5304000</v>
      </c>
      <c r="E87" s="256"/>
      <c r="F87" s="256"/>
      <c r="G87" s="256"/>
    </row>
    <row r="88" spans="1:7" ht="15.75">
      <c r="A88" s="49">
        <v>6500</v>
      </c>
      <c r="B88" s="50" t="s">
        <v>107</v>
      </c>
      <c r="C88" s="51">
        <f>SUM(C89:C91)</f>
        <v>8988265</v>
      </c>
      <c r="D88" s="51">
        <f>SUM(D89:D91)</f>
        <v>8988265</v>
      </c>
      <c r="E88" s="256"/>
      <c r="F88" s="256"/>
      <c r="G88" s="256"/>
    </row>
    <row r="89" spans="1:7" ht="15.75">
      <c r="A89" s="39">
        <v>6501</v>
      </c>
      <c r="B89" s="37" t="s">
        <v>108</v>
      </c>
      <c r="C89" s="38">
        <v>7931385</v>
      </c>
      <c r="D89" s="38">
        <f t="shared" si="4"/>
        <v>7931385</v>
      </c>
      <c r="E89" s="256"/>
      <c r="F89" s="256"/>
      <c r="G89" s="256"/>
    </row>
    <row r="90" spans="1:7" ht="15.75">
      <c r="A90" s="36">
        <v>6503</v>
      </c>
      <c r="B90" s="37" t="s">
        <v>305</v>
      </c>
      <c r="C90" s="38">
        <v>156880</v>
      </c>
      <c r="D90" s="38">
        <f t="shared" ref="D90" si="6">C90</f>
        <v>156880</v>
      </c>
      <c r="E90" s="256"/>
      <c r="F90" s="256"/>
      <c r="G90" s="256"/>
    </row>
    <row r="91" spans="1:7" ht="15.75">
      <c r="A91" s="36">
        <v>6504</v>
      </c>
      <c r="B91" s="37" t="s">
        <v>109</v>
      </c>
      <c r="C91" s="38">
        <v>900000</v>
      </c>
      <c r="D91" s="38">
        <f t="shared" si="4"/>
        <v>900000</v>
      </c>
      <c r="E91" s="256"/>
      <c r="F91" s="256"/>
      <c r="G91" s="256"/>
    </row>
    <row r="92" spans="1:7" ht="15.75">
      <c r="A92" s="42">
        <v>6550</v>
      </c>
      <c r="B92" s="43" t="s">
        <v>110</v>
      </c>
      <c r="C92" s="51">
        <f>SUM(C93:C95)</f>
        <v>665000</v>
      </c>
      <c r="D92" s="51">
        <f>SUM(D93:D95)</f>
        <v>665000</v>
      </c>
      <c r="E92" s="256"/>
      <c r="F92" s="256"/>
      <c r="G92" s="256"/>
    </row>
    <row r="93" spans="1:7" ht="15.75">
      <c r="A93" s="36">
        <v>6551</v>
      </c>
      <c r="B93" s="37" t="s">
        <v>111</v>
      </c>
      <c r="C93" s="38">
        <v>0</v>
      </c>
      <c r="D93" s="38">
        <f t="shared" ref="D93" si="7">C93</f>
        <v>0</v>
      </c>
      <c r="E93" s="256"/>
      <c r="F93" s="256"/>
      <c r="G93" s="256"/>
    </row>
    <row r="94" spans="1:7" ht="15.75">
      <c r="A94" s="36">
        <v>6552</v>
      </c>
      <c r="B94" s="37" t="s">
        <v>306</v>
      </c>
      <c r="C94" s="38">
        <v>38000</v>
      </c>
      <c r="D94" s="38">
        <f t="shared" si="4"/>
        <v>38000</v>
      </c>
      <c r="E94" s="256"/>
      <c r="F94" s="256"/>
      <c r="G94" s="256"/>
    </row>
    <row r="95" spans="1:7" ht="15.75">
      <c r="A95" s="36">
        <v>6599</v>
      </c>
      <c r="B95" s="37" t="s">
        <v>112</v>
      </c>
      <c r="C95" s="38">
        <v>627000</v>
      </c>
      <c r="D95" s="38">
        <f t="shared" si="4"/>
        <v>627000</v>
      </c>
      <c r="E95" s="256"/>
      <c r="F95" s="256"/>
      <c r="G95" s="256"/>
    </row>
    <row r="96" spans="1:7" ht="15.75">
      <c r="A96" s="49">
        <v>6600</v>
      </c>
      <c r="B96" s="43" t="s">
        <v>113</v>
      </c>
      <c r="C96" s="51">
        <f>SUM(C97:C101)</f>
        <v>3817267</v>
      </c>
      <c r="D96" s="51">
        <f>SUM(D97:D101)</f>
        <v>3817267</v>
      </c>
      <c r="E96" s="256"/>
      <c r="F96" s="256"/>
      <c r="G96" s="256"/>
    </row>
    <row r="97" spans="1:10" ht="15.75">
      <c r="A97" s="39">
        <v>6601</v>
      </c>
      <c r="B97" s="37" t="s">
        <v>114</v>
      </c>
      <c r="C97" s="38">
        <v>373267</v>
      </c>
      <c r="D97" s="38">
        <f t="shared" si="4"/>
        <v>373267</v>
      </c>
      <c r="E97" s="256"/>
      <c r="F97" s="256"/>
      <c r="G97" s="256"/>
    </row>
    <row r="98" spans="1:10" ht="15.75">
      <c r="A98" s="36">
        <v>6605</v>
      </c>
      <c r="B98" s="37" t="s">
        <v>115</v>
      </c>
      <c r="C98" s="38">
        <v>2244000</v>
      </c>
      <c r="D98" s="38">
        <f t="shared" ref="D98" si="8">C98</f>
        <v>2244000</v>
      </c>
      <c r="E98" s="256"/>
      <c r="F98" s="256"/>
      <c r="G98" s="256"/>
    </row>
    <row r="99" spans="1:10" ht="15.75">
      <c r="A99" s="36">
        <v>6608</v>
      </c>
      <c r="B99" s="37" t="s">
        <v>307</v>
      </c>
      <c r="C99" s="38">
        <v>0</v>
      </c>
      <c r="D99" s="38">
        <f t="shared" si="4"/>
        <v>0</v>
      </c>
      <c r="E99" s="256"/>
      <c r="F99" s="256"/>
      <c r="G99" s="256"/>
    </row>
    <row r="100" spans="1:10" ht="15.75">
      <c r="A100" s="36">
        <v>6618</v>
      </c>
      <c r="B100" s="37" t="s">
        <v>116</v>
      </c>
      <c r="C100" s="38">
        <v>1200000</v>
      </c>
      <c r="D100" s="38">
        <f t="shared" si="4"/>
        <v>1200000</v>
      </c>
      <c r="E100" s="256"/>
      <c r="F100" s="256"/>
      <c r="G100" s="256"/>
    </row>
    <row r="101" spans="1:10" ht="15.75">
      <c r="A101" s="36">
        <v>6649</v>
      </c>
      <c r="B101" s="37" t="s">
        <v>182</v>
      </c>
      <c r="C101" s="38">
        <v>0</v>
      </c>
      <c r="D101" s="38">
        <f t="shared" si="4"/>
        <v>0</v>
      </c>
      <c r="E101" s="256"/>
      <c r="F101" s="256"/>
      <c r="G101" s="256"/>
    </row>
    <row r="102" spans="1:10" ht="15.75">
      <c r="A102" s="49">
        <v>6700</v>
      </c>
      <c r="B102" s="43" t="s">
        <v>117</v>
      </c>
      <c r="C102" s="51">
        <f>SUM(C103:C107)</f>
        <v>7725000</v>
      </c>
      <c r="D102" s="51">
        <f>SUM(D103:D107)</f>
        <v>7725000</v>
      </c>
      <c r="E102" s="256"/>
      <c r="F102" s="256"/>
      <c r="G102" s="256"/>
    </row>
    <row r="103" spans="1:10" ht="15.75">
      <c r="A103" s="39">
        <v>6701</v>
      </c>
      <c r="B103" s="37" t="s">
        <v>118</v>
      </c>
      <c r="C103" s="38">
        <v>1645000</v>
      </c>
      <c r="D103" s="38">
        <f t="shared" si="4"/>
        <v>1645000</v>
      </c>
      <c r="E103" s="256"/>
      <c r="F103" s="256"/>
      <c r="G103" s="256"/>
    </row>
    <row r="104" spans="1:10" ht="15.75">
      <c r="A104" s="39">
        <v>6702</v>
      </c>
      <c r="B104" s="37" t="s">
        <v>119</v>
      </c>
      <c r="C104" s="38">
        <v>2480000</v>
      </c>
      <c r="D104" s="38">
        <f t="shared" si="4"/>
        <v>2480000</v>
      </c>
      <c r="E104" s="256"/>
      <c r="F104" s="256"/>
      <c r="G104" s="256"/>
      <c r="J104" s="272"/>
    </row>
    <row r="105" spans="1:10" ht="15.75">
      <c r="A105" s="39">
        <v>6703</v>
      </c>
      <c r="B105" s="37" t="s">
        <v>120</v>
      </c>
      <c r="C105" s="38">
        <v>600000</v>
      </c>
      <c r="D105" s="38">
        <f t="shared" si="4"/>
        <v>600000</v>
      </c>
      <c r="E105" s="256"/>
      <c r="F105" s="256"/>
      <c r="G105" s="256"/>
    </row>
    <row r="106" spans="1:10" ht="15.75">
      <c r="A106" s="39">
        <v>6704</v>
      </c>
      <c r="B106" s="37" t="s">
        <v>121</v>
      </c>
      <c r="C106" s="38">
        <v>3000000</v>
      </c>
      <c r="D106" s="38">
        <f t="shared" si="4"/>
        <v>3000000</v>
      </c>
      <c r="E106" s="256"/>
      <c r="F106" s="256"/>
      <c r="G106" s="256"/>
    </row>
    <row r="107" spans="1:10" ht="15.75">
      <c r="A107" s="39">
        <v>6749</v>
      </c>
      <c r="B107" s="37" t="s">
        <v>122</v>
      </c>
      <c r="C107" s="38">
        <v>0</v>
      </c>
      <c r="D107" s="38">
        <f t="shared" si="4"/>
        <v>0</v>
      </c>
      <c r="E107" s="256"/>
      <c r="F107" s="256"/>
      <c r="G107" s="256"/>
    </row>
    <row r="108" spans="1:10" ht="15.75">
      <c r="A108" s="49">
        <v>6750</v>
      </c>
      <c r="B108" s="43" t="s">
        <v>123</v>
      </c>
      <c r="C108" s="51">
        <f>SUM(C109:C112)</f>
        <v>24350000</v>
      </c>
      <c r="D108" s="51">
        <f>SUM(D109:D112)</f>
        <v>24350000</v>
      </c>
      <c r="E108" s="256"/>
      <c r="F108" s="256"/>
      <c r="G108" s="256"/>
    </row>
    <row r="109" spans="1:10" ht="15.75" hidden="1" customHeight="1">
      <c r="A109" s="36">
        <v>6751</v>
      </c>
      <c r="B109" s="37" t="s">
        <v>124</v>
      </c>
      <c r="C109" s="38">
        <v>0</v>
      </c>
      <c r="D109" s="38">
        <f t="shared" si="4"/>
        <v>0</v>
      </c>
      <c r="E109" s="256"/>
      <c r="F109" s="256"/>
      <c r="G109" s="256"/>
    </row>
    <row r="110" spans="1:10" ht="15.75">
      <c r="A110" s="36">
        <v>6757</v>
      </c>
      <c r="B110" s="37" t="s">
        <v>125</v>
      </c>
      <c r="C110" s="38">
        <v>24350000</v>
      </c>
      <c r="D110" s="38">
        <f t="shared" si="4"/>
        <v>24350000</v>
      </c>
      <c r="E110" s="256"/>
      <c r="F110" s="256"/>
      <c r="G110" s="256"/>
    </row>
    <row r="111" spans="1:10" ht="15.75" hidden="1" customHeight="1">
      <c r="A111" s="36">
        <v>6758</v>
      </c>
      <c r="B111" s="37" t="s">
        <v>126</v>
      </c>
      <c r="C111" s="38">
        <v>0</v>
      </c>
      <c r="D111" s="38">
        <f t="shared" si="4"/>
        <v>0</v>
      </c>
      <c r="E111" s="256"/>
      <c r="F111" s="256"/>
      <c r="G111" s="256"/>
    </row>
    <row r="112" spans="1:10" ht="15.75" hidden="1" customHeight="1">
      <c r="A112" s="36">
        <v>6799</v>
      </c>
      <c r="B112" s="37" t="s">
        <v>122</v>
      </c>
      <c r="C112" s="38">
        <v>0</v>
      </c>
      <c r="D112" s="38">
        <f t="shared" si="4"/>
        <v>0</v>
      </c>
      <c r="E112" s="256"/>
      <c r="F112" s="256"/>
      <c r="G112" s="256"/>
    </row>
    <row r="113" spans="1:7" ht="15.75">
      <c r="A113" s="49">
        <v>6900</v>
      </c>
      <c r="B113" s="43" t="s">
        <v>127</v>
      </c>
      <c r="C113" s="51">
        <f>SUM(C114:C119)</f>
        <v>55292000</v>
      </c>
      <c r="D113" s="51">
        <f>SUM(D114:D119)</f>
        <v>55292000</v>
      </c>
      <c r="E113" s="256"/>
      <c r="F113" s="256"/>
      <c r="G113" s="256"/>
    </row>
    <row r="114" spans="1:7" ht="15.75">
      <c r="A114" s="39">
        <v>6907</v>
      </c>
      <c r="B114" s="37" t="s">
        <v>308</v>
      </c>
      <c r="C114" s="38">
        <v>10560000</v>
      </c>
      <c r="D114" s="38">
        <f t="shared" si="4"/>
        <v>10560000</v>
      </c>
      <c r="E114" s="256"/>
      <c r="F114" s="256"/>
      <c r="G114" s="256"/>
    </row>
    <row r="115" spans="1:7" ht="15.75">
      <c r="A115" s="36">
        <v>6908</v>
      </c>
      <c r="B115" s="37" t="s">
        <v>129</v>
      </c>
      <c r="C115" s="38">
        <v>0</v>
      </c>
      <c r="D115" s="38">
        <f t="shared" si="4"/>
        <v>0</v>
      </c>
      <c r="E115" s="256"/>
      <c r="F115" s="256"/>
      <c r="G115" s="256"/>
    </row>
    <row r="116" spans="1:7" ht="15.75">
      <c r="A116" s="39">
        <v>6912</v>
      </c>
      <c r="B116" s="37" t="s">
        <v>130</v>
      </c>
      <c r="C116" s="38">
        <v>17175000</v>
      </c>
      <c r="D116" s="38">
        <f t="shared" si="4"/>
        <v>17175000</v>
      </c>
      <c r="E116" s="256"/>
      <c r="F116" s="256"/>
      <c r="G116" s="256"/>
    </row>
    <row r="117" spans="1:7" ht="15.75">
      <c r="A117" s="36">
        <v>6913</v>
      </c>
      <c r="B117" s="37" t="s">
        <v>131</v>
      </c>
      <c r="C117" s="38">
        <v>0</v>
      </c>
      <c r="D117" s="38">
        <f t="shared" si="4"/>
        <v>0</v>
      </c>
      <c r="E117" s="256"/>
      <c r="F117" s="256"/>
      <c r="G117" s="256"/>
    </row>
    <row r="118" spans="1:7" ht="15.75">
      <c r="A118" s="36">
        <v>6921</v>
      </c>
      <c r="B118" s="37" t="s">
        <v>132</v>
      </c>
      <c r="C118" s="38">
        <v>7480000</v>
      </c>
      <c r="D118" s="38">
        <f t="shared" si="4"/>
        <v>7480000</v>
      </c>
      <c r="E118" s="256"/>
      <c r="F118" s="256"/>
      <c r="G118" s="256"/>
    </row>
    <row r="119" spans="1:7" ht="15.75">
      <c r="A119" s="36">
        <v>6949</v>
      </c>
      <c r="B119" s="37" t="s">
        <v>133</v>
      </c>
      <c r="C119" s="38">
        <v>20077000</v>
      </c>
      <c r="D119" s="38">
        <f t="shared" si="4"/>
        <v>20077000</v>
      </c>
      <c r="E119" s="256"/>
      <c r="F119" s="256"/>
      <c r="G119" s="256"/>
    </row>
    <row r="120" spans="1:7" ht="15.75">
      <c r="A120" s="42">
        <v>7000</v>
      </c>
      <c r="B120" s="43" t="s">
        <v>134</v>
      </c>
      <c r="C120" s="51">
        <f>SUM(C121:C124)</f>
        <v>3390000</v>
      </c>
      <c r="D120" s="51">
        <f>SUM(D121:D124)</f>
        <v>3390000</v>
      </c>
      <c r="E120" s="256"/>
      <c r="F120" s="256"/>
      <c r="G120" s="256"/>
    </row>
    <row r="121" spans="1:7" ht="15.75">
      <c r="A121" s="39">
        <v>7001</v>
      </c>
      <c r="B121" s="37" t="s">
        <v>135</v>
      </c>
      <c r="C121" s="38">
        <v>840000</v>
      </c>
      <c r="D121" s="38">
        <f t="shared" si="4"/>
        <v>840000</v>
      </c>
      <c r="E121" s="256"/>
      <c r="F121" s="256"/>
      <c r="G121" s="256"/>
    </row>
    <row r="122" spans="1:7" ht="15.75">
      <c r="A122" s="39">
        <v>7003</v>
      </c>
      <c r="B122" s="37" t="s">
        <v>136</v>
      </c>
      <c r="C122" s="38">
        <v>0</v>
      </c>
      <c r="D122" s="38">
        <f t="shared" si="4"/>
        <v>0</v>
      </c>
      <c r="E122" s="256"/>
      <c r="F122" s="256"/>
      <c r="G122" s="256"/>
    </row>
    <row r="123" spans="1:7" ht="15.75">
      <c r="A123" s="39">
        <v>7004</v>
      </c>
      <c r="B123" s="37" t="s">
        <v>137</v>
      </c>
      <c r="C123" s="38">
        <v>0</v>
      </c>
      <c r="D123" s="38">
        <f t="shared" si="4"/>
        <v>0</v>
      </c>
      <c r="E123" s="256"/>
      <c r="F123" s="256"/>
      <c r="G123" s="256"/>
    </row>
    <row r="124" spans="1:7" ht="15.75">
      <c r="A124" s="36">
        <v>7049</v>
      </c>
      <c r="B124" s="37" t="s">
        <v>138</v>
      </c>
      <c r="C124" s="38">
        <v>2550000</v>
      </c>
      <c r="D124" s="38">
        <f t="shared" si="4"/>
        <v>2550000</v>
      </c>
      <c r="E124" s="256"/>
      <c r="F124" s="256"/>
      <c r="G124" s="256"/>
    </row>
    <row r="125" spans="1:7" ht="15.75">
      <c r="A125" s="49">
        <v>7050</v>
      </c>
      <c r="B125" s="43"/>
      <c r="C125" s="51">
        <f>SUM(C126:C127)</f>
        <v>3000000</v>
      </c>
      <c r="D125" s="51">
        <f>SUM(D126:D127)</f>
        <v>3000000</v>
      </c>
      <c r="E125" s="256"/>
      <c r="F125" s="256"/>
      <c r="G125" s="256"/>
    </row>
    <row r="126" spans="1:7" ht="15.75">
      <c r="A126" s="36">
        <v>7053</v>
      </c>
      <c r="B126" s="37" t="s">
        <v>336</v>
      </c>
      <c r="C126" s="38">
        <v>3000000</v>
      </c>
      <c r="D126" s="38">
        <f t="shared" ref="D126:D127" si="9">C126</f>
        <v>3000000</v>
      </c>
      <c r="E126" s="256"/>
      <c r="F126" s="256"/>
      <c r="G126" s="256"/>
    </row>
    <row r="127" spans="1:7" s="263" customFormat="1" ht="15.75">
      <c r="A127" s="36">
        <v>7761</v>
      </c>
      <c r="B127" s="37" t="s">
        <v>140</v>
      </c>
      <c r="C127" s="38">
        <v>0</v>
      </c>
      <c r="D127" s="38">
        <f t="shared" si="9"/>
        <v>0</v>
      </c>
      <c r="E127" s="256"/>
      <c r="F127" s="256"/>
      <c r="G127" s="256"/>
    </row>
    <row r="128" spans="1:7" ht="15.75">
      <c r="A128" s="49">
        <v>7750</v>
      </c>
      <c r="B128" s="43" t="s">
        <v>58</v>
      </c>
      <c r="C128" s="51">
        <f>SUM(C129:C133)</f>
        <v>-7590000</v>
      </c>
      <c r="D128" s="51">
        <f>SUM(D129:D133)</f>
        <v>-7590000</v>
      </c>
      <c r="E128" s="256"/>
      <c r="F128" s="256"/>
      <c r="G128" s="256"/>
    </row>
    <row r="129" spans="1:7" ht="15.75">
      <c r="A129" s="36">
        <v>7764</v>
      </c>
      <c r="B129" s="37" t="s">
        <v>139</v>
      </c>
      <c r="C129" s="38">
        <v>0</v>
      </c>
      <c r="D129" s="38">
        <f t="shared" si="4"/>
        <v>0</v>
      </c>
      <c r="E129" s="256"/>
      <c r="F129" s="256"/>
      <c r="G129" s="256"/>
    </row>
    <row r="130" spans="1:7" s="263" customFormat="1" ht="15.75">
      <c r="A130" s="36">
        <v>7761</v>
      </c>
      <c r="B130" s="37" t="s">
        <v>140</v>
      </c>
      <c r="C130" s="38">
        <v>0</v>
      </c>
      <c r="D130" s="38">
        <f t="shared" si="4"/>
        <v>0</v>
      </c>
      <c r="E130" s="256"/>
      <c r="F130" s="256"/>
      <c r="G130" s="256"/>
    </row>
    <row r="131" spans="1:7" ht="15.75">
      <c r="A131" s="36">
        <v>7799</v>
      </c>
      <c r="B131" s="37" t="s">
        <v>141</v>
      </c>
      <c r="C131" s="38">
        <v>0</v>
      </c>
      <c r="D131" s="38">
        <f t="shared" si="4"/>
        <v>0</v>
      </c>
      <c r="E131" s="256"/>
      <c r="F131" s="256"/>
      <c r="G131" s="256"/>
    </row>
    <row r="132" spans="1:7" ht="15.75">
      <c r="A132" s="36">
        <v>7799</v>
      </c>
      <c r="B132" s="37" t="s">
        <v>142</v>
      </c>
      <c r="C132" s="38">
        <v>-7590000</v>
      </c>
      <c r="D132" s="38">
        <f t="shared" si="4"/>
        <v>-7590000</v>
      </c>
      <c r="E132" s="256"/>
      <c r="F132" s="256"/>
      <c r="G132" s="256"/>
    </row>
    <row r="133" spans="1:7" ht="15.75">
      <c r="A133" s="36">
        <v>7899</v>
      </c>
      <c r="B133" s="37" t="s">
        <v>143</v>
      </c>
      <c r="C133" s="38">
        <v>0</v>
      </c>
      <c r="D133" s="38">
        <f t="shared" si="4"/>
        <v>0</v>
      </c>
      <c r="E133" s="256"/>
      <c r="F133" s="256"/>
      <c r="G133" s="256"/>
    </row>
    <row r="134" spans="1:7" s="267" customFormat="1" ht="31.5">
      <c r="A134" s="214" t="s">
        <v>30</v>
      </c>
      <c r="B134" s="92" t="s">
        <v>40</v>
      </c>
      <c r="C134" s="273">
        <f>C135+C141+C148+C153</f>
        <v>335620084</v>
      </c>
      <c r="D134" s="273">
        <f>D135+D141+D148+D153</f>
        <v>335620084</v>
      </c>
      <c r="E134" s="274"/>
      <c r="F134" s="274"/>
      <c r="G134" s="274"/>
    </row>
    <row r="135" spans="1:7" ht="15.75">
      <c r="A135" s="214"/>
      <c r="B135" s="92" t="s">
        <v>59</v>
      </c>
      <c r="C135" s="47">
        <f>C136+C138</f>
        <v>335620084</v>
      </c>
      <c r="D135" s="47">
        <f>D136+D138</f>
        <v>335620084</v>
      </c>
      <c r="E135" s="256"/>
      <c r="F135" s="256"/>
      <c r="G135" s="256"/>
    </row>
    <row r="136" spans="1:7" ht="17.25">
      <c r="A136" s="217">
        <v>6100</v>
      </c>
      <c r="B136" s="275" t="s">
        <v>93</v>
      </c>
      <c r="C136" s="51">
        <f>C137</f>
        <v>72522964</v>
      </c>
      <c r="D136" s="51">
        <f>D137</f>
        <v>72522964</v>
      </c>
      <c r="E136" s="256"/>
      <c r="F136" s="256"/>
      <c r="G136" s="256"/>
    </row>
    <row r="137" spans="1:7" ht="17.25">
      <c r="A137" s="218">
        <v>6105</v>
      </c>
      <c r="B137" s="275" t="s">
        <v>144</v>
      </c>
      <c r="C137" s="38">
        <v>72522964</v>
      </c>
      <c r="D137" s="38">
        <f t="shared" si="4"/>
        <v>72522964</v>
      </c>
      <c r="E137" s="256"/>
      <c r="F137" s="256"/>
      <c r="G137" s="256"/>
    </row>
    <row r="138" spans="1:7" ht="17.25">
      <c r="A138" s="217">
        <v>6400</v>
      </c>
      <c r="B138" s="275" t="s">
        <v>88</v>
      </c>
      <c r="C138" s="51">
        <f>SUM(C139:C140)</f>
        <v>263097120</v>
      </c>
      <c r="D138" s="51">
        <f>SUM(D139:D140)</f>
        <v>263097120</v>
      </c>
      <c r="E138" s="256"/>
      <c r="F138" s="256"/>
      <c r="G138" s="256"/>
    </row>
    <row r="139" spans="1:7" ht="17.25">
      <c r="A139" s="219">
        <v>6406</v>
      </c>
      <c r="B139" s="275" t="s">
        <v>166</v>
      </c>
      <c r="C139" s="38">
        <v>0</v>
      </c>
      <c r="D139" s="38">
        <f t="shared" si="4"/>
        <v>0</v>
      </c>
      <c r="E139" s="256"/>
      <c r="F139" s="256"/>
      <c r="G139" s="256"/>
    </row>
    <row r="140" spans="1:7" ht="17.25">
      <c r="A140" s="219">
        <v>6449</v>
      </c>
      <c r="B140" s="275" t="s">
        <v>167</v>
      </c>
      <c r="C140" s="38">
        <v>263097120</v>
      </c>
      <c r="D140" s="38">
        <f t="shared" si="4"/>
        <v>263097120</v>
      </c>
      <c r="E140" s="256"/>
      <c r="F140" s="256"/>
      <c r="G140" s="256"/>
    </row>
    <row r="141" spans="1:7" ht="18">
      <c r="A141" s="220"/>
      <c r="B141" s="276" t="s">
        <v>63</v>
      </c>
      <c r="C141" s="47">
        <f>C142+C144+C146</f>
        <v>0</v>
      </c>
      <c r="D141" s="47">
        <f>D142+D144+D146</f>
        <v>0</v>
      </c>
      <c r="E141" s="256"/>
      <c r="F141" s="256"/>
      <c r="G141" s="256"/>
    </row>
    <row r="142" spans="1:7" ht="17.25" hidden="1" customHeight="1">
      <c r="A142" s="217">
        <v>6550</v>
      </c>
      <c r="B142" s="275" t="s">
        <v>152</v>
      </c>
      <c r="C142" s="51">
        <f>C143</f>
        <v>0</v>
      </c>
      <c r="D142" s="38">
        <f t="shared" si="4"/>
        <v>0</v>
      </c>
      <c r="E142" s="256"/>
      <c r="F142" s="256"/>
      <c r="G142" s="256"/>
    </row>
    <row r="143" spans="1:7" ht="17.25" hidden="1" customHeight="1">
      <c r="A143" s="219">
        <v>6552</v>
      </c>
      <c r="B143" s="275" t="s">
        <v>153</v>
      </c>
      <c r="C143" s="38">
        <v>0</v>
      </c>
      <c r="D143" s="38">
        <f t="shared" ref="D143:D154" si="10">C143</f>
        <v>0</v>
      </c>
      <c r="E143" s="256"/>
      <c r="F143" s="256"/>
      <c r="G143" s="256"/>
    </row>
    <row r="144" spans="1:7" ht="17.25" hidden="1" customHeight="1">
      <c r="A144" s="217">
        <v>6750</v>
      </c>
      <c r="B144" s="275" t="s">
        <v>154</v>
      </c>
      <c r="C144" s="51">
        <f>C145</f>
        <v>0</v>
      </c>
      <c r="D144" s="51">
        <f>D145</f>
        <v>0</v>
      </c>
      <c r="E144" s="256"/>
      <c r="F144" s="256"/>
      <c r="G144" s="256"/>
    </row>
    <row r="145" spans="1:15" ht="17.25" hidden="1" customHeight="1">
      <c r="A145" s="219">
        <v>6758</v>
      </c>
      <c r="B145" s="275" t="s">
        <v>155</v>
      </c>
      <c r="C145" s="38">
        <v>0</v>
      </c>
      <c r="D145" s="38">
        <f t="shared" si="10"/>
        <v>0</v>
      </c>
      <c r="E145" s="256"/>
      <c r="F145" s="256"/>
      <c r="G145" s="256"/>
    </row>
    <row r="146" spans="1:15" ht="17.25" hidden="1" customHeight="1">
      <c r="A146" s="217">
        <v>7000</v>
      </c>
      <c r="B146" s="275" t="s">
        <v>156</v>
      </c>
      <c r="C146" s="51">
        <f>C147</f>
        <v>0</v>
      </c>
      <c r="D146" s="51">
        <f>D147</f>
        <v>0</v>
      </c>
      <c r="E146" s="256"/>
      <c r="F146" s="256"/>
      <c r="G146" s="256"/>
    </row>
    <row r="147" spans="1:15" ht="17.25" hidden="1" customHeight="1">
      <c r="A147" s="219">
        <v>7004</v>
      </c>
      <c r="B147" s="275" t="s">
        <v>157</v>
      </c>
      <c r="C147" s="38">
        <v>0</v>
      </c>
      <c r="D147" s="38">
        <f t="shared" si="10"/>
        <v>0</v>
      </c>
      <c r="E147" s="256"/>
      <c r="F147" s="256"/>
      <c r="G147" s="256"/>
    </row>
    <row r="148" spans="1:15" ht="18" hidden="1" customHeight="1">
      <c r="A148" s="221"/>
      <c r="B148" s="276" t="s">
        <v>58</v>
      </c>
      <c r="C148" s="47">
        <f>SUM(C149:C152)</f>
        <v>0</v>
      </c>
      <c r="D148" s="47">
        <f>SUM(D149:D152)</f>
        <v>0</v>
      </c>
      <c r="E148" s="256"/>
      <c r="F148" s="256"/>
      <c r="G148" s="256"/>
    </row>
    <row r="149" spans="1:15" ht="17.25" hidden="1" customHeight="1">
      <c r="A149" s="219">
        <v>7757</v>
      </c>
      <c r="B149" s="275" t="s">
        <v>158</v>
      </c>
      <c r="C149" s="38">
        <v>0</v>
      </c>
      <c r="D149" s="38">
        <f t="shared" si="10"/>
        <v>0</v>
      </c>
      <c r="E149" s="256"/>
      <c r="F149" s="256"/>
      <c r="G149" s="256"/>
    </row>
    <row r="150" spans="1:15" ht="17.25" hidden="1" customHeight="1">
      <c r="A150" s="219">
        <v>7799</v>
      </c>
      <c r="B150" s="275" t="s">
        <v>159</v>
      </c>
      <c r="C150" s="38">
        <v>0</v>
      </c>
      <c r="D150" s="38">
        <f t="shared" si="10"/>
        <v>0</v>
      </c>
      <c r="E150" s="256"/>
      <c r="F150" s="256"/>
      <c r="G150" s="256"/>
    </row>
    <row r="151" spans="1:15" ht="17.25" hidden="1" customHeight="1">
      <c r="A151" s="219">
        <v>7799</v>
      </c>
      <c r="B151" s="275" t="s">
        <v>160</v>
      </c>
      <c r="C151" s="38">
        <v>0</v>
      </c>
      <c r="D151" s="38">
        <f t="shared" si="10"/>
        <v>0</v>
      </c>
      <c r="E151" s="256"/>
      <c r="F151" s="256"/>
      <c r="G151" s="256"/>
    </row>
    <row r="152" spans="1:15" ht="17.25" hidden="1" customHeight="1">
      <c r="A152" s="218">
        <v>7766</v>
      </c>
      <c r="B152" s="275" t="s">
        <v>169</v>
      </c>
      <c r="C152" s="38">
        <v>0</v>
      </c>
      <c r="D152" s="38">
        <f t="shared" si="10"/>
        <v>0</v>
      </c>
      <c r="E152" s="256"/>
      <c r="F152" s="256"/>
      <c r="G152" s="256"/>
    </row>
    <row r="153" spans="1:15" ht="15.75" hidden="1" customHeight="1">
      <c r="A153" s="91"/>
      <c r="B153" s="276" t="s">
        <v>85</v>
      </c>
      <c r="C153" s="47">
        <f>C154</f>
        <v>0</v>
      </c>
      <c r="D153" s="47">
        <f>D154</f>
        <v>0</v>
      </c>
      <c r="E153" s="256"/>
      <c r="F153" s="256"/>
      <c r="G153" s="256"/>
    </row>
    <row r="154" spans="1:15" ht="17.25" hidden="1" customHeight="1">
      <c r="A154" s="219">
        <v>9099</v>
      </c>
      <c r="B154" s="275" t="s">
        <v>162</v>
      </c>
      <c r="C154" s="38">
        <v>0</v>
      </c>
      <c r="D154" s="38">
        <f t="shared" si="10"/>
        <v>0</v>
      </c>
      <c r="E154" s="256"/>
      <c r="F154" s="256"/>
      <c r="G154" s="256"/>
    </row>
    <row r="155" spans="1:15" ht="16.5">
      <c r="H155" s="222" t="s">
        <v>309</v>
      </c>
      <c r="I155" s="223" t="s">
        <v>310</v>
      </c>
      <c r="J155" s="222" t="s">
        <v>311</v>
      </c>
      <c r="K155" s="222" t="s">
        <v>312</v>
      </c>
      <c r="L155" s="222" t="s">
        <v>313</v>
      </c>
      <c r="M155" s="222" t="s">
        <v>314</v>
      </c>
    </row>
    <row r="156" spans="1:15" s="263" customFormat="1" ht="30.75" customHeight="1">
      <c r="A156" s="347" t="s">
        <v>64</v>
      </c>
      <c r="B156" s="348" t="s">
        <v>168</v>
      </c>
      <c r="C156" s="277"/>
      <c r="D156" s="277"/>
      <c r="E156" s="278"/>
      <c r="F156" s="278"/>
      <c r="G156" s="278"/>
      <c r="H156" s="224" t="s">
        <v>1</v>
      </c>
      <c r="I156" s="225" t="s">
        <v>315</v>
      </c>
      <c r="J156" s="226">
        <f>SUM(J157:J160)</f>
        <v>21169700</v>
      </c>
      <c r="K156" s="226">
        <f>SUM(K157:K160)</f>
        <v>109196000</v>
      </c>
      <c r="L156" s="226">
        <f>SUM(L157:L160)</f>
        <v>106271000</v>
      </c>
      <c r="M156" s="226">
        <f>SUM(M157:P161)</f>
        <v>24094700</v>
      </c>
    </row>
    <row r="157" spans="1:15" ht="30" customHeight="1">
      <c r="A157" s="222" t="s">
        <v>309</v>
      </c>
      <c r="B157" s="223" t="s">
        <v>310</v>
      </c>
      <c r="C157" s="222" t="s">
        <v>311</v>
      </c>
      <c r="D157" s="222" t="s">
        <v>312</v>
      </c>
      <c r="E157" s="222" t="s">
        <v>313</v>
      </c>
      <c r="F157" s="222" t="s">
        <v>314</v>
      </c>
      <c r="G157" s="256"/>
      <c r="H157" s="190">
        <v>1</v>
      </c>
      <c r="I157" s="191" t="s">
        <v>316</v>
      </c>
      <c r="J157" s="279">
        <v>250000</v>
      </c>
      <c r="K157" s="280">
        <v>45780000</v>
      </c>
      <c r="L157" s="280">
        <v>45780000</v>
      </c>
      <c r="M157" s="187">
        <f>J157+K157-L157</f>
        <v>250000</v>
      </c>
    </row>
    <row r="158" spans="1:15" ht="18.95" customHeight="1">
      <c r="A158" s="227" t="s">
        <v>1</v>
      </c>
      <c r="B158" s="228" t="s">
        <v>315</v>
      </c>
      <c r="C158" s="340">
        <f>SUM(C159:C162)</f>
        <v>13919700</v>
      </c>
      <c r="D158" s="340">
        <f>SUM(D159:D162)</f>
        <v>424405000</v>
      </c>
      <c r="E158" s="340">
        <f>SUM(E159:E162)</f>
        <v>417599300</v>
      </c>
      <c r="F158" s="340">
        <f>SUM(F159:F163)</f>
        <v>22265300</v>
      </c>
      <c r="G158" s="256"/>
      <c r="H158" s="190">
        <v>2</v>
      </c>
      <c r="I158" s="281" t="s">
        <v>317</v>
      </c>
      <c r="J158" s="279">
        <v>988000</v>
      </c>
      <c r="K158" s="279">
        <v>545000</v>
      </c>
      <c r="L158" s="187">
        <v>0</v>
      </c>
      <c r="M158" s="187">
        <f>J158+K158-L158</f>
        <v>1533000</v>
      </c>
    </row>
    <row r="159" spans="1:15" ht="18.95" customHeight="1">
      <c r="A159" s="190">
        <v>1</v>
      </c>
      <c r="B159" s="191" t="s">
        <v>343</v>
      </c>
      <c r="C159" s="286">
        <v>250000</v>
      </c>
      <c r="D159" s="286">
        <f>298114000-138000</f>
        <v>297976000</v>
      </c>
      <c r="E159" s="189">
        <f>297976000+112000</f>
        <v>298088000</v>
      </c>
      <c r="F159" s="189">
        <f>C159+D159-E159</f>
        <v>138000</v>
      </c>
      <c r="G159" s="282"/>
      <c r="H159" s="190">
        <v>3</v>
      </c>
      <c r="I159" s="283" t="s">
        <v>318</v>
      </c>
      <c r="J159" s="284">
        <v>2873700</v>
      </c>
      <c r="K159" s="284">
        <v>8910000</v>
      </c>
      <c r="L159" s="188">
        <v>8475000</v>
      </c>
      <c r="M159" s="188">
        <f>J159+K159-L159</f>
        <v>3308700</v>
      </c>
      <c r="O159" s="291"/>
    </row>
    <row r="160" spans="1:15" ht="18.95" customHeight="1">
      <c r="A160" s="190">
        <v>2</v>
      </c>
      <c r="B160" s="281" t="s">
        <v>347</v>
      </c>
      <c r="C160" s="286">
        <v>1533000</v>
      </c>
      <c r="D160" s="286">
        <f>2292000+2292000</f>
        <v>4584000</v>
      </c>
      <c r="E160" s="189">
        <v>5000000</v>
      </c>
      <c r="F160" s="189">
        <f>C160+D160-E160</f>
        <v>1117000</v>
      </c>
      <c r="G160" s="256"/>
      <c r="H160" s="230">
        <v>4</v>
      </c>
      <c r="I160" s="285" t="s">
        <v>319</v>
      </c>
      <c r="J160" s="286">
        <v>17058000</v>
      </c>
      <c r="K160" s="286">
        <v>53961000</v>
      </c>
      <c r="L160" s="189">
        <v>52016000</v>
      </c>
      <c r="M160" s="189"/>
    </row>
    <row r="161" spans="1:21" ht="18.95" customHeight="1">
      <c r="A161" s="190">
        <v>3</v>
      </c>
      <c r="B161" s="283" t="s">
        <v>344</v>
      </c>
      <c r="C161" s="341">
        <v>3738700</v>
      </c>
      <c r="D161" s="341">
        <v>11406000</v>
      </c>
      <c r="E161" s="342">
        <v>10600000</v>
      </c>
      <c r="F161" s="342">
        <f>C161+D161-E161</f>
        <v>4544700</v>
      </c>
      <c r="G161" s="256"/>
      <c r="H161" s="230"/>
      <c r="I161" s="202" t="s">
        <v>320</v>
      </c>
      <c r="J161" s="286"/>
      <c r="K161" s="286"/>
      <c r="L161" s="189">
        <v>0</v>
      </c>
      <c r="M161" s="189">
        <f>J160+K160-L161-L160</f>
        <v>19003000</v>
      </c>
    </row>
    <row r="162" spans="1:21" ht="18.95" customHeight="1">
      <c r="A162" s="230">
        <v>4</v>
      </c>
      <c r="B162" s="285" t="s">
        <v>345</v>
      </c>
      <c r="C162" s="343">
        <v>8398000</v>
      </c>
      <c r="D162" s="286">
        <v>110439000</v>
      </c>
      <c r="E162" s="189">
        <f>99654300+4257000</f>
        <v>103911300</v>
      </c>
      <c r="F162" s="342">
        <f>C162+D162-E162</f>
        <v>14925700</v>
      </c>
      <c r="G162" s="256"/>
      <c r="H162" s="231" t="s">
        <v>5</v>
      </c>
      <c r="I162" s="287" t="s">
        <v>321</v>
      </c>
      <c r="J162" s="195">
        <f>SUM(J163:J168)</f>
        <v>127600400</v>
      </c>
      <c r="K162" s="195">
        <f>SUM(K163:K168)</f>
        <v>68225000</v>
      </c>
      <c r="L162" s="195">
        <f>SUM(L163:L168)</f>
        <v>168969800</v>
      </c>
      <c r="M162" s="195">
        <f>SUM(M163:M168)</f>
        <v>26855600</v>
      </c>
    </row>
    <row r="163" spans="1:21" ht="18.95" customHeight="1">
      <c r="A163" s="190">
        <v>5</v>
      </c>
      <c r="B163" s="202" t="s">
        <v>346</v>
      </c>
      <c r="C163" s="286"/>
      <c r="D163" s="286">
        <v>7640000</v>
      </c>
      <c r="E163" s="189">
        <v>6100100</v>
      </c>
      <c r="F163" s="342">
        <f>C163+D163-E163</f>
        <v>1539900</v>
      </c>
      <c r="G163" s="256"/>
      <c r="H163" s="190">
        <v>1</v>
      </c>
      <c r="I163" s="191" t="s">
        <v>322</v>
      </c>
      <c r="J163" s="279">
        <v>42202000</v>
      </c>
      <c r="K163" s="279">
        <v>10025000</v>
      </c>
      <c r="L163" s="279">
        <v>48540000</v>
      </c>
      <c r="M163" s="187">
        <f t="shared" ref="M163:M168" si="11">J163+K163-L163</f>
        <v>3687000</v>
      </c>
    </row>
    <row r="164" spans="1:21" ht="18.95" customHeight="1">
      <c r="A164" s="231" t="s">
        <v>5</v>
      </c>
      <c r="B164" s="287" t="s">
        <v>321</v>
      </c>
      <c r="C164" s="344">
        <f>SUM(C165:C170)</f>
        <v>30373600</v>
      </c>
      <c r="D164" s="344">
        <f>SUM(D165:D170)</f>
        <v>112550000</v>
      </c>
      <c r="E164" s="344">
        <f>SUM(E165:E170)</f>
        <v>11906000</v>
      </c>
      <c r="F164" s="344">
        <f>SUM(F165:F170)</f>
        <v>131017600</v>
      </c>
      <c r="G164" s="256"/>
      <c r="H164" s="190">
        <v>2</v>
      </c>
      <c r="I164" s="191" t="s">
        <v>329</v>
      </c>
      <c r="J164" s="279">
        <v>59385600</v>
      </c>
      <c r="K164" s="279">
        <v>58200000</v>
      </c>
      <c r="L164" s="279">
        <v>117429800</v>
      </c>
      <c r="M164" s="187">
        <f t="shared" si="11"/>
        <v>155800</v>
      </c>
    </row>
    <row r="165" spans="1:21" ht="18.95" customHeight="1">
      <c r="A165" s="190">
        <v>1</v>
      </c>
      <c r="B165" s="191" t="s">
        <v>342</v>
      </c>
      <c r="C165" s="286">
        <v>9687000</v>
      </c>
      <c r="D165" s="286">
        <v>112550000</v>
      </c>
      <c r="E165" s="286">
        <v>3811000</v>
      </c>
      <c r="F165" s="189">
        <f t="shared" ref="F165:F170" si="12">C165+D165-E165</f>
        <v>118426000</v>
      </c>
      <c r="G165" s="256"/>
      <c r="H165" s="190">
        <v>3</v>
      </c>
      <c r="I165" s="191" t="s">
        <v>330</v>
      </c>
      <c r="J165" s="192">
        <v>2427000</v>
      </c>
      <c r="K165" s="192"/>
      <c r="L165" s="192">
        <v>0</v>
      </c>
      <c r="M165" s="187">
        <f t="shared" si="11"/>
        <v>2427000</v>
      </c>
    </row>
    <row r="166" spans="1:21" ht="18.95" customHeight="1">
      <c r="A166" s="190">
        <v>2</v>
      </c>
      <c r="B166" s="191" t="s">
        <v>323</v>
      </c>
      <c r="C166" s="286">
        <v>155800</v>
      </c>
      <c r="D166" s="286">
        <v>0</v>
      </c>
      <c r="E166" s="286">
        <v>0</v>
      </c>
      <c r="F166" s="189">
        <f t="shared" si="12"/>
        <v>155800</v>
      </c>
      <c r="G166" s="256"/>
      <c r="H166" s="190">
        <v>4</v>
      </c>
      <c r="I166" s="193" t="s">
        <v>325</v>
      </c>
      <c r="J166" s="288">
        <v>439500</v>
      </c>
      <c r="K166" s="288"/>
      <c r="L166" s="187"/>
      <c r="M166" s="187">
        <f t="shared" si="11"/>
        <v>439500</v>
      </c>
    </row>
    <row r="167" spans="1:21" ht="18.95" customHeight="1">
      <c r="A167" s="190">
        <v>3</v>
      </c>
      <c r="B167" s="191" t="s">
        <v>324</v>
      </c>
      <c r="C167" s="345">
        <v>2427000</v>
      </c>
      <c r="D167" s="345"/>
      <c r="E167" s="345">
        <v>0</v>
      </c>
      <c r="F167" s="189">
        <f t="shared" si="12"/>
        <v>2427000</v>
      </c>
      <c r="G167" s="256"/>
      <c r="H167" s="190">
        <v>5</v>
      </c>
      <c r="I167" s="193" t="s">
        <v>326</v>
      </c>
      <c r="J167" s="288">
        <v>775800</v>
      </c>
      <c r="K167" s="288"/>
      <c r="L167" s="187">
        <v>0</v>
      </c>
      <c r="M167" s="187">
        <f t="shared" si="11"/>
        <v>775800</v>
      </c>
    </row>
    <row r="168" spans="1:21" ht="18.95" customHeight="1">
      <c r="A168" s="190">
        <v>4</v>
      </c>
      <c r="B168" s="193" t="s">
        <v>325</v>
      </c>
      <c r="C168" s="346">
        <v>6439500</v>
      </c>
      <c r="D168" s="346">
        <v>0</v>
      </c>
      <c r="E168" s="189">
        <v>3285000</v>
      </c>
      <c r="F168" s="189">
        <f t="shared" si="12"/>
        <v>3154500</v>
      </c>
      <c r="G168" s="256"/>
      <c r="H168" s="190">
        <v>6</v>
      </c>
      <c r="I168" s="193" t="s">
        <v>331</v>
      </c>
      <c r="J168" s="288">
        <v>22370500</v>
      </c>
      <c r="K168" s="288"/>
      <c r="L168" s="194">
        <v>3000000</v>
      </c>
      <c r="M168" s="187">
        <f t="shared" si="11"/>
        <v>19370500</v>
      </c>
    </row>
    <row r="169" spans="1:21" ht="18.95" customHeight="1">
      <c r="A169" s="190">
        <v>5</v>
      </c>
      <c r="B169" s="193" t="s">
        <v>326</v>
      </c>
      <c r="C169" s="346">
        <v>775800</v>
      </c>
      <c r="D169" s="346"/>
      <c r="E169" s="189">
        <v>0</v>
      </c>
      <c r="F169" s="189">
        <f t="shared" si="12"/>
        <v>775800</v>
      </c>
      <c r="G169" s="256"/>
      <c r="H169" s="321" t="s">
        <v>328</v>
      </c>
      <c r="I169" s="322"/>
      <c r="J169" s="232">
        <f>J156+J162</f>
        <v>148770100</v>
      </c>
      <c r="K169" s="232">
        <f>K156+K162</f>
        <v>177421000</v>
      </c>
      <c r="L169" s="232">
        <f>L156+L162</f>
        <v>275240800</v>
      </c>
      <c r="M169" s="232">
        <f>M156+M162</f>
        <v>50950300</v>
      </c>
    </row>
    <row r="170" spans="1:21" ht="18.95" customHeight="1">
      <c r="A170" s="190">
        <v>6</v>
      </c>
      <c r="B170" s="193" t="s">
        <v>327</v>
      </c>
      <c r="C170" s="346">
        <v>10888500</v>
      </c>
      <c r="D170" s="346">
        <v>0</v>
      </c>
      <c r="E170" s="189">
        <v>4810000</v>
      </c>
      <c r="F170" s="189">
        <f t="shared" si="12"/>
        <v>6078500</v>
      </c>
      <c r="G170" s="256"/>
      <c r="H170" s="222" t="s">
        <v>309</v>
      </c>
      <c r="I170" s="223" t="s">
        <v>310</v>
      </c>
      <c r="J170" s="222" t="s">
        <v>311</v>
      </c>
      <c r="K170" s="222" t="s">
        <v>312</v>
      </c>
      <c r="L170" s="222" t="s">
        <v>313</v>
      </c>
      <c r="M170" s="222" t="s">
        <v>314</v>
      </c>
    </row>
    <row r="171" spans="1:21" ht="18.95" customHeight="1">
      <c r="A171" s="321" t="s">
        <v>328</v>
      </c>
      <c r="B171" s="322"/>
      <c r="C171" s="232">
        <f>C158+C164</f>
        <v>44293300</v>
      </c>
      <c r="D171" s="232">
        <f>D158+D164</f>
        <v>536955000</v>
      </c>
      <c r="E171" s="232">
        <f>E158+E164</f>
        <v>429505300</v>
      </c>
      <c r="F171" s="232">
        <f>F158+F164</f>
        <v>153282900</v>
      </c>
      <c r="G171" s="256"/>
      <c r="H171" s="227" t="s">
        <v>1</v>
      </c>
      <c r="I171" s="228" t="s">
        <v>315</v>
      </c>
      <c r="J171" s="229">
        <f>SUM(J172:J175)</f>
        <v>24094700</v>
      </c>
      <c r="K171" s="229">
        <f>SUM(K172:K175)</f>
        <v>0</v>
      </c>
      <c r="L171" s="229">
        <f>SUM(L172:L175)</f>
        <v>0</v>
      </c>
      <c r="M171" s="229">
        <f>SUM(M172:P176)</f>
        <v>13489700</v>
      </c>
    </row>
    <row r="172" spans="1:21">
      <c r="H172" s="190">
        <v>1</v>
      </c>
      <c r="I172" s="191" t="s">
        <v>316</v>
      </c>
      <c r="J172" s="279">
        <v>250000</v>
      </c>
      <c r="K172" s="280">
        <v>0</v>
      </c>
      <c r="L172" s="280">
        <v>0</v>
      </c>
      <c r="M172" s="187">
        <f>J172+K172-L172</f>
        <v>250000</v>
      </c>
    </row>
    <row r="173" spans="1:21" ht="15.75">
      <c r="B173" s="83"/>
      <c r="C173" s="83"/>
      <c r="D173" s="326" t="s">
        <v>341</v>
      </c>
      <c r="E173" s="326"/>
      <c r="F173" s="326"/>
      <c r="G173" s="327"/>
      <c r="H173" s="190">
        <v>2</v>
      </c>
      <c r="I173" s="281" t="s">
        <v>317</v>
      </c>
      <c r="J173" s="279">
        <v>1533000</v>
      </c>
      <c r="K173" s="279">
        <v>0</v>
      </c>
      <c r="L173" s="187">
        <v>0</v>
      </c>
      <c r="M173" s="187">
        <f>J173+K173-L173</f>
        <v>1533000</v>
      </c>
      <c r="U173" s="270"/>
    </row>
    <row r="174" spans="1:21" ht="15.75">
      <c r="B174" s="196" t="s">
        <v>163</v>
      </c>
      <c r="C174" s="83"/>
      <c r="D174" s="296" t="s">
        <v>46</v>
      </c>
      <c r="E174" s="296"/>
      <c r="F174" s="296"/>
      <c r="G174" s="328"/>
      <c r="H174" s="190">
        <v>3</v>
      </c>
      <c r="I174" s="283" t="s">
        <v>318</v>
      </c>
      <c r="J174" s="284">
        <v>3308700</v>
      </c>
      <c r="K174" s="284">
        <v>0</v>
      </c>
      <c r="L174" s="188">
        <v>0</v>
      </c>
      <c r="M174" s="188">
        <f>J174+K174-L174</f>
        <v>3308700</v>
      </c>
      <c r="U174" s="270"/>
    </row>
    <row r="175" spans="1:21" ht="15.75">
      <c r="B175" s="83"/>
      <c r="C175" s="83"/>
      <c r="D175" s="83"/>
      <c r="E175" s="83"/>
      <c r="F175" s="83"/>
      <c r="G175" s="83"/>
      <c r="H175" s="230">
        <v>4</v>
      </c>
      <c r="I175" s="285" t="s">
        <v>319</v>
      </c>
      <c r="J175" s="286">
        <v>19003000</v>
      </c>
      <c r="K175" s="286">
        <v>0</v>
      </c>
      <c r="L175" s="189">
        <v>0</v>
      </c>
      <c r="M175" s="189"/>
    </row>
    <row r="176" spans="1:21" ht="18.75">
      <c r="B176" s="289"/>
      <c r="C176" s="290"/>
      <c r="D176" s="290"/>
      <c r="E176" s="289"/>
      <c r="F176" s="289"/>
      <c r="G176" s="289"/>
      <c r="H176" s="230"/>
      <c r="I176" s="202" t="s">
        <v>320</v>
      </c>
      <c r="J176" s="286"/>
      <c r="K176" s="286"/>
      <c r="L176" s="189">
        <v>10605000</v>
      </c>
      <c r="M176" s="189">
        <f>J175+K175-L176-L175</f>
        <v>8398000</v>
      </c>
    </row>
    <row r="177" spans="2:13" ht="15.75">
      <c r="F177" s="291"/>
      <c r="H177" s="231" t="s">
        <v>5</v>
      </c>
      <c r="I177" s="287" t="s">
        <v>321</v>
      </c>
      <c r="J177" s="195">
        <f>SUM(J178:J183)</f>
        <v>26855600</v>
      </c>
      <c r="K177" s="195">
        <f>SUM(K178:K183)</f>
        <v>6000000</v>
      </c>
      <c r="L177" s="195">
        <f>SUM(L178:L183)</f>
        <v>8490000</v>
      </c>
      <c r="M177" s="195">
        <f>SUM(M178:M183)</f>
        <v>24365600</v>
      </c>
    </row>
    <row r="178" spans="2:13">
      <c r="H178" s="190">
        <v>1</v>
      </c>
      <c r="I178" s="191" t="s">
        <v>322</v>
      </c>
      <c r="J178" s="279">
        <v>3687000</v>
      </c>
      <c r="K178" s="279">
        <v>6000000</v>
      </c>
      <c r="L178" s="279">
        <v>0</v>
      </c>
      <c r="M178" s="187">
        <f t="shared" ref="M178:M183" si="13">J178+K178-L178</f>
        <v>9687000</v>
      </c>
    </row>
    <row r="179" spans="2:13">
      <c r="H179" s="190">
        <v>2</v>
      </c>
      <c r="I179" s="191" t="s">
        <v>329</v>
      </c>
      <c r="J179" s="279">
        <v>155800</v>
      </c>
      <c r="K179" s="279">
        <v>0</v>
      </c>
      <c r="L179" s="279">
        <v>0</v>
      </c>
      <c r="M179" s="187">
        <f t="shared" si="13"/>
        <v>155800</v>
      </c>
    </row>
    <row r="180" spans="2:13" s="239" customFormat="1">
      <c r="B180" s="352" t="s">
        <v>348</v>
      </c>
      <c r="D180" s="353" t="s">
        <v>349</v>
      </c>
      <c r="E180" s="353"/>
      <c r="F180" s="353"/>
      <c r="G180" s="354"/>
      <c r="H180" s="231">
        <v>3</v>
      </c>
      <c r="I180" s="349" t="s">
        <v>330</v>
      </c>
      <c r="J180" s="350">
        <v>2427000</v>
      </c>
      <c r="K180" s="350"/>
      <c r="L180" s="350">
        <v>0</v>
      </c>
      <c r="M180" s="351">
        <f t="shared" si="13"/>
        <v>2427000</v>
      </c>
    </row>
    <row r="181" spans="2:13">
      <c r="E181" s="291"/>
      <c r="H181" s="190">
        <v>4</v>
      </c>
      <c r="I181" s="193" t="s">
        <v>325</v>
      </c>
      <c r="J181" s="288">
        <v>439500</v>
      </c>
      <c r="K181" s="288"/>
      <c r="L181" s="187"/>
      <c r="M181" s="187">
        <f t="shared" si="13"/>
        <v>439500</v>
      </c>
    </row>
    <row r="182" spans="2:13" ht="30">
      <c r="H182" s="190">
        <v>5</v>
      </c>
      <c r="I182" s="193" t="s">
        <v>326</v>
      </c>
      <c r="J182" s="288">
        <v>775800</v>
      </c>
      <c r="K182" s="288"/>
      <c r="L182" s="187">
        <v>0</v>
      </c>
      <c r="M182" s="187">
        <f t="shared" si="13"/>
        <v>775800</v>
      </c>
    </row>
    <row r="183" spans="2:13" ht="409.6">
      <c r="H183" s="190">
        <v>6</v>
      </c>
      <c r="I183" s="193" t="s">
        <v>331</v>
      </c>
      <c r="J183" s="288">
        <v>19370500</v>
      </c>
      <c r="K183" s="288"/>
      <c r="L183" s="194">
        <v>8490000</v>
      </c>
      <c r="M183" s="187">
        <f t="shared" si="13"/>
        <v>10880500</v>
      </c>
    </row>
    <row r="184" spans="2:13">
      <c r="H184" s="321" t="s">
        <v>328</v>
      </c>
      <c r="I184" s="322"/>
      <c r="J184" s="232">
        <f>J171+J177</f>
        <v>50950300</v>
      </c>
      <c r="K184" s="232">
        <f>K171+K177</f>
        <v>6000000</v>
      </c>
      <c r="L184" s="232">
        <f>L171+L177</f>
        <v>8490000</v>
      </c>
      <c r="M184" s="232">
        <f>M171+M177</f>
        <v>37855300</v>
      </c>
    </row>
    <row r="187" spans="2:13">
      <c r="K187" s="237">
        <v>10880500</v>
      </c>
    </row>
  </sheetData>
  <mergeCells count="21">
    <mergeCell ref="A1:B1"/>
    <mergeCell ref="A2:B2"/>
    <mergeCell ref="A3:G3"/>
    <mergeCell ref="A5:G5"/>
    <mergeCell ref="A4:G4"/>
    <mergeCell ref="D1:G2"/>
    <mergeCell ref="H169:I169"/>
    <mergeCell ref="H184:I184"/>
    <mergeCell ref="I67:J67"/>
    <mergeCell ref="A6:G6"/>
    <mergeCell ref="C7:G7"/>
    <mergeCell ref="D173:G173"/>
    <mergeCell ref="D174:G174"/>
    <mergeCell ref="A171:B171"/>
    <mergeCell ref="D8:D9"/>
    <mergeCell ref="C8:C9"/>
    <mergeCell ref="B8:B9"/>
    <mergeCell ref="A8:A9"/>
    <mergeCell ref="E8:G8"/>
    <mergeCell ref="I19:J19"/>
    <mergeCell ref="D180:G180"/>
  </mergeCells>
  <pageMargins left="0.3" right="0" top="0.65" bottom="0.5" header="0.31496062992125984"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E03ED5-AE04-4236-BEE2-7BE1480BE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B59EE4C-9619-46D8-8FE8-306FE19C126F}">
  <ds:schemaRef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purl.org/dc/terms/"/>
    <ds:schemaRef ds:uri="http://purl.org/dc/dcmitype/"/>
    <ds:schemaRef ds:uri="http://www.w3.org/XML/1998/namespace"/>
  </ds:schemaRefs>
</ds:datastoreItem>
</file>

<file path=customXml/itemProps3.xml><?xml version="1.0" encoding="utf-8"?>
<ds:datastoreItem xmlns:ds="http://schemas.openxmlformats.org/officeDocument/2006/customXml" ds:itemID="{79D0264D-01EB-4531-8483-8A2F83FC3E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Bieu 2</vt:lpstr>
      <vt:lpstr>Bieu 3</vt:lpstr>
      <vt:lpstr>Bieu 4</vt:lpstr>
      <vt:lpstr>'Bieu 2'!Print_Titles</vt:lpstr>
      <vt:lpstr>'Bieu 3'!Print_Titles</vt:lpstr>
      <vt:lpstr>'Bieu 4'!Print_Titles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nguyenthuthuy1</dc:creator>
  <cp:lastModifiedBy>ADMIN</cp:lastModifiedBy>
  <cp:lastPrinted>2018-10-24T08:27:04Z</cp:lastPrinted>
  <dcterms:created xsi:type="dcterms:W3CDTF">2016-10-14T10:52:32Z</dcterms:created>
  <dcterms:modified xsi:type="dcterms:W3CDTF">2018-10-24T09:23:51Z</dcterms:modified>
</cp:coreProperties>
</file>