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80" windowWidth="15600" windowHeight="6855" activeTab="2"/>
  </bookViews>
  <sheets>
    <sheet name="Bieu 2" sheetId="2" r:id="rId1"/>
    <sheet name="Bieu 3" sheetId="20" r:id="rId2"/>
    <sheet name="Bieu 4" sheetId="3" r:id="rId3"/>
  </sheets>
  <externalReferences>
    <externalReference r:id="rId4"/>
  </externalReferences>
  <definedNames>
    <definedName name="_xlnm.Print_Titles" localSheetId="0">'Bieu 2'!$8:$8</definedName>
    <definedName name="_xlnm.Print_Titles" localSheetId="1">'Bieu 3'!$8:$9</definedName>
    <definedName name="_xlnm.Print_Titles" localSheetId="2">'Bieu 4'!$9:$10</definedName>
  </definedNames>
  <calcPr calcId="144525"/>
</workbook>
</file>

<file path=xl/calcChain.xml><?xml version="1.0" encoding="utf-8"?>
<calcChain xmlns="http://schemas.openxmlformats.org/spreadsheetml/2006/main">
  <c r="F125" i="3" l="1"/>
  <c r="E120" i="3"/>
  <c r="E113" i="3"/>
  <c r="E117" i="3"/>
  <c r="F117" i="3"/>
  <c r="D121" i="3"/>
  <c r="E116" i="3" l="1"/>
  <c r="F116" i="3" s="1"/>
  <c r="F115" i="3"/>
  <c r="P115" i="3"/>
  <c r="E121" i="3"/>
  <c r="E125" i="3"/>
  <c r="E124" i="3"/>
  <c r="E122" i="3"/>
  <c r="P119" i="3"/>
  <c r="D117" i="3"/>
  <c r="E115" i="3"/>
  <c r="F114" i="3"/>
  <c r="E114" i="3"/>
  <c r="D119" i="3"/>
  <c r="D116" i="3"/>
  <c r="D115" i="3"/>
  <c r="D114" i="3"/>
  <c r="M140" i="3"/>
  <c r="M139" i="3"/>
  <c r="M138" i="3"/>
  <c r="M137" i="3"/>
  <c r="M136" i="3"/>
  <c r="M135" i="3"/>
  <c r="M134" i="3"/>
  <c r="L134" i="3"/>
  <c r="K134" i="3"/>
  <c r="K141" i="3" s="1"/>
  <c r="J134" i="3"/>
  <c r="M132" i="3"/>
  <c r="M131" i="3"/>
  <c r="M130" i="3"/>
  <c r="L129" i="3"/>
  <c r="M129" i="3" s="1"/>
  <c r="M128" i="3" s="1"/>
  <c r="M141" i="3" s="1"/>
  <c r="L128" i="3"/>
  <c r="L141" i="3" s="1"/>
  <c r="K128" i="3"/>
  <c r="J128" i="3"/>
  <c r="J141" i="3" s="1"/>
  <c r="M125" i="3"/>
  <c r="M124" i="3"/>
  <c r="M123" i="3"/>
  <c r="M122" i="3"/>
  <c r="M121" i="3"/>
  <c r="M120" i="3"/>
  <c r="M119" i="3" s="1"/>
  <c r="L119" i="3"/>
  <c r="K119" i="3"/>
  <c r="J119" i="3"/>
  <c r="M118" i="3"/>
  <c r="M116" i="3"/>
  <c r="M115" i="3"/>
  <c r="M114" i="3"/>
  <c r="M113" i="3" s="1"/>
  <c r="L113" i="3"/>
  <c r="L126" i="3" s="1"/>
  <c r="K113" i="3"/>
  <c r="K126" i="3" s="1"/>
  <c r="J113" i="3"/>
  <c r="J126" i="3" s="1"/>
  <c r="C125" i="3"/>
  <c r="E119" i="3"/>
  <c r="C124" i="3"/>
  <c r="F123" i="3"/>
  <c r="C122" i="3"/>
  <c r="F122" i="3" s="1"/>
  <c r="F121" i="3"/>
  <c r="F119" i="3" s="1"/>
  <c r="C120" i="3"/>
  <c r="C119" i="3" s="1"/>
  <c r="D113" i="3"/>
  <c r="C113" i="3"/>
  <c r="F113" i="3" l="1"/>
  <c r="P117" i="3"/>
  <c r="D126" i="3"/>
  <c r="M126" i="3"/>
  <c r="C126" i="3"/>
  <c r="E126" i="3"/>
  <c r="F124" i="3"/>
  <c r="F120" i="3"/>
  <c r="F126" i="3" l="1"/>
  <c r="D75" i="3" l="1"/>
  <c r="C50" i="3"/>
  <c r="C32" i="3"/>
  <c r="D11" i="20"/>
  <c r="C113" i="20"/>
  <c r="C98" i="20"/>
  <c r="C115" i="20"/>
  <c r="C114" i="20" s="1"/>
  <c r="C126" i="20"/>
  <c r="C122" i="20"/>
  <c r="C121" i="20"/>
  <c r="C117" i="20"/>
  <c r="C119" i="20"/>
  <c r="C108" i="20"/>
  <c r="C105" i="20"/>
  <c r="C104" i="20"/>
  <c r="C100" i="20" l="1"/>
  <c r="C91" i="20"/>
  <c r="C93" i="20"/>
  <c r="C74" i="20"/>
  <c r="C66" i="20"/>
  <c r="C65" i="20"/>
  <c r="C62" i="20" s="1"/>
  <c r="C49" i="20"/>
  <c r="C47" i="20"/>
  <c r="C32" i="20"/>
  <c r="J131" i="20"/>
  <c r="J126" i="20"/>
  <c r="J125" i="20"/>
  <c r="J123" i="20"/>
  <c r="J122" i="20" s="1"/>
  <c r="J118" i="20"/>
  <c r="C116" i="20" s="1"/>
  <c r="J117" i="20"/>
  <c r="J115" i="20" s="1"/>
  <c r="J114" i="20"/>
  <c r="C112" i="20" s="1"/>
  <c r="J113" i="20"/>
  <c r="C106" i="20" s="1"/>
  <c r="J110" i="20"/>
  <c r="C110" i="20" s="1"/>
  <c r="J109" i="20"/>
  <c r="C107" i="20" s="1"/>
  <c r="J106" i="20"/>
  <c r="C109" i="20" s="1"/>
  <c r="J105" i="20"/>
  <c r="C103" i="20" s="1"/>
  <c r="J104" i="20"/>
  <c r="C102" i="20" s="1"/>
  <c r="J101" i="20"/>
  <c r="J99" i="20"/>
  <c r="J97" i="20"/>
  <c r="C94" i="20" s="1"/>
  <c r="J96" i="20"/>
  <c r="J95" i="20"/>
  <c r="J90" i="20" s="1"/>
  <c r="J88" i="20"/>
  <c r="J86" i="20"/>
  <c r="J85" i="20"/>
  <c r="C88" i="20" s="1"/>
  <c r="J84" i="20"/>
  <c r="J83" i="20"/>
  <c r="J82" i="20"/>
  <c r="C86" i="20" s="1"/>
  <c r="J79" i="20"/>
  <c r="J77" i="20"/>
  <c r="C75" i="20" s="1"/>
  <c r="J76" i="20"/>
  <c r="C76" i="20" s="1"/>
  <c r="J75" i="20"/>
  <c r="C77" i="20" s="1"/>
  <c r="J72" i="20"/>
  <c r="C71" i="20" s="1"/>
  <c r="J71" i="20"/>
  <c r="C70" i="20" s="1"/>
  <c r="J70" i="20"/>
  <c r="C69" i="20" s="1"/>
  <c r="J69" i="20"/>
  <c r="J68" i="20" s="1"/>
  <c r="J67" i="20"/>
  <c r="J66" i="20"/>
  <c r="J62" i="20"/>
  <c r="C61" i="20" s="1"/>
  <c r="J61" i="20"/>
  <c r="C60" i="20" s="1"/>
  <c r="J60" i="20"/>
  <c r="C59" i="20" s="1"/>
  <c r="J59" i="20"/>
  <c r="C58" i="20" s="1"/>
  <c r="J57" i="20"/>
  <c r="J56" i="20"/>
  <c r="J55" i="20"/>
  <c r="J54" i="20"/>
  <c r="J53" i="20"/>
  <c r="J52" i="20"/>
  <c r="J51" i="20"/>
  <c r="J50" i="20"/>
  <c r="J49" i="20"/>
  <c r="J47" i="20"/>
  <c r="C53" i="20" s="1"/>
  <c r="J46" i="20"/>
  <c r="C52" i="20" s="1"/>
  <c r="J45" i="20"/>
  <c r="C51" i="20" s="1"/>
  <c r="J39" i="20"/>
  <c r="J14" i="20"/>
  <c r="C39" i="20" s="1"/>
  <c r="J13" i="20"/>
  <c r="C38" i="20" s="1"/>
  <c r="J12" i="20"/>
  <c r="C37" i="20" s="1"/>
  <c r="J11" i="20"/>
  <c r="J10" i="20"/>
  <c r="C36" i="20" s="1"/>
  <c r="J9" i="20"/>
  <c r="C35" i="20" s="1"/>
  <c r="J8" i="20"/>
  <c r="C34" i="20" s="1"/>
  <c r="J5" i="20"/>
  <c r="C31" i="20" s="1"/>
  <c r="J4" i="20"/>
  <c r="C13" i="20"/>
  <c r="C44" i="2"/>
  <c r="C89" i="20" l="1"/>
  <c r="C124" i="20"/>
  <c r="C120" i="20" s="1"/>
  <c r="J129" i="20"/>
  <c r="C127" i="20"/>
  <c r="C125" i="20" s="1"/>
  <c r="C92" i="20"/>
  <c r="C50" i="20"/>
  <c r="C68" i="20"/>
  <c r="C67" i="20" s="1"/>
  <c r="C55" i="20"/>
  <c r="C56" i="20"/>
  <c r="C46" i="20"/>
  <c r="J48" i="20"/>
  <c r="J103" i="20"/>
  <c r="J16" i="20"/>
  <c r="C41" i="20" s="1"/>
  <c r="J73" i="20"/>
  <c r="J124" i="20"/>
  <c r="J7" i="20"/>
  <c r="J81" i="20"/>
  <c r="C30" i="20"/>
  <c r="C29" i="20" s="1"/>
  <c r="J44" i="20"/>
  <c r="J58" i="20"/>
  <c r="J63" i="20"/>
  <c r="J89" i="20"/>
  <c r="J3" i="20"/>
  <c r="J100" i="20" l="1"/>
  <c r="J132" i="20" s="1"/>
  <c r="C54" i="20"/>
  <c r="J43" i="20"/>
  <c r="J18" i="20"/>
  <c r="J19" i="20" s="1"/>
  <c r="C44" i="20" s="1"/>
  <c r="J17" i="20"/>
  <c r="C42" i="20" s="1"/>
  <c r="C43" i="20" l="1"/>
  <c r="J15" i="20"/>
  <c r="J2" i="20" s="1"/>
  <c r="J1" i="20" s="1"/>
  <c r="C43" i="2" l="1"/>
  <c r="C29" i="2" l="1"/>
  <c r="C35" i="2"/>
  <c r="C30" i="2"/>
  <c r="C12" i="2"/>
  <c r="C20" i="2" s="1"/>
  <c r="C19" i="2" s="1"/>
  <c r="C28" i="2" l="1"/>
  <c r="C109" i="3"/>
  <c r="D33" i="3"/>
  <c r="D34" i="3"/>
  <c r="D49" i="3"/>
  <c r="D54" i="3"/>
  <c r="D55" i="3"/>
  <c r="D61" i="3"/>
  <c r="D62" i="3"/>
  <c r="D63" i="3"/>
  <c r="D65" i="3"/>
  <c r="D67" i="3"/>
  <c r="D69" i="3"/>
  <c r="D76" i="3"/>
  <c r="D78" i="3"/>
  <c r="D81" i="3"/>
  <c r="D82" i="3"/>
  <c r="D83" i="3"/>
  <c r="D85" i="3"/>
  <c r="D86" i="3"/>
  <c r="D87" i="3"/>
  <c r="D93" i="3"/>
  <c r="D92" i="3" s="1"/>
  <c r="D95" i="3"/>
  <c r="D96" i="3"/>
  <c r="D99" i="3"/>
  <c r="D101" i="3"/>
  <c r="D100" i="3" s="1"/>
  <c r="D103" i="3"/>
  <c r="D102" i="3" s="1"/>
  <c r="D105" i="3"/>
  <c r="D106" i="3"/>
  <c r="D108" i="3"/>
  <c r="D110" i="3"/>
  <c r="D109" i="3" s="1"/>
  <c r="C104" i="3"/>
  <c r="C102" i="3"/>
  <c r="C100" i="3"/>
  <c r="C98" i="3"/>
  <c r="C92" i="3"/>
  <c r="D89" i="3"/>
  <c r="D88" i="3"/>
  <c r="C84" i="3"/>
  <c r="D80" i="3"/>
  <c r="C79" i="3"/>
  <c r="D77" i="3"/>
  <c r="D74" i="3"/>
  <c r="D73" i="3"/>
  <c r="C71" i="3"/>
  <c r="D70" i="3"/>
  <c r="D68" i="3"/>
  <c r="C60" i="3"/>
  <c r="D59" i="3"/>
  <c r="D58" i="3"/>
  <c r="C56" i="3"/>
  <c r="C53" i="3"/>
  <c r="D52" i="3"/>
  <c r="C48" i="3"/>
  <c r="D48" i="3" s="1"/>
  <c r="D46" i="3"/>
  <c r="D45" i="3"/>
  <c r="D44" i="3"/>
  <c r="C42" i="3"/>
  <c r="D41" i="3"/>
  <c r="D40" i="3"/>
  <c r="D39" i="3"/>
  <c r="D38" i="3"/>
  <c r="D37" i="3"/>
  <c r="C35" i="3"/>
  <c r="C118" i="20"/>
  <c r="C99" i="20"/>
  <c r="C85" i="20"/>
  <c r="C40" i="20"/>
  <c r="E13" i="20"/>
  <c r="E11" i="20" s="1"/>
  <c r="E10" i="20" s="1"/>
  <c r="C11" i="20"/>
  <c r="C10" i="20" s="1"/>
  <c r="A3" i="20"/>
  <c r="A2" i="20"/>
  <c r="C90" i="20" l="1"/>
  <c r="C78" i="20"/>
  <c r="C57" i="20"/>
  <c r="C73" i="20"/>
  <c r="C33" i="20"/>
  <c r="C28" i="20" s="1"/>
  <c r="C101" i="20"/>
  <c r="C97" i="20" s="1"/>
  <c r="D10" i="20"/>
  <c r="C31" i="3"/>
  <c r="C97" i="3"/>
  <c r="D79" i="3"/>
  <c r="D53" i="3"/>
  <c r="D94" i="3"/>
  <c r="D84" i="3"/>
  <c r="D66" i="3"/>
  <c r="D72" i="3"/>
  <c r="D71" i="3" s="1"/>
  <c r="D64" i="3"/>
  <c r="D60" i="3" s="1"/>
  <c r="D57" i="3"/>
  <c r="D56" i="3" s="1"/>
  <c r="D51" i="3"/>
  <c r="D50" i="3" s="1"/>
  <c r="D43" i="3"/>
  <c r="D42" i="3" s="1"/>
  <c r="D36" i="3"/>
  <c r="D35" i="3" s="1"/>
  <c r="C66" i="3"/>
  <c r="C47" i="3" s="1"/>
  <c r="C94" i="3"/>
  <c r="C91" i="3" s="1"/>
  <c r="D107" i="3"/>
  <c r="D104" i="3" s="1"/>
  <c r="D98" i="3"/>
  <c r="D97" i="3" s="1"/>
  <c r="D32" i="3"/>
  <c r="D91" i="3"/>
  <c r="C90" i="3" l="1"/>
  <c r="D47" i="3"/>
  <c r="C30" i="3"/>
  <c r="C45" i="20"/>
  <c r="C27" i="20" s="1"/>
  <c r="D31" i="3"/>
  <c r="D90" i="3"/>
  <c r="D97" i="20" s="1"/>
  <c r="E97" i="20" s="1"/>
  <c r="D30" i="3" l="1"/>
  <c r="D27" i="20" s="1"/>
  <c r="E27" i="20" s="1"/>
  <c r="L11" i="20"/>
  <c r="C40" i="2"/>
  <c r="C53" i="2" l="1"/>
  <c r="C10" i="2"/>
  <c r="C9" i="2" s="1"/>
  <c r="A3" i="3"/>
  <c r="A2" i="3"/>
</calcChain>
</file>

<file path=xl/sharedStrings.xml><?xml version="1.0" encoding="utf-8"?>
<sst xmlns="http://schemas.openxmlformats.org/spreadsheetml/2006/main" count="539" uniqueCount="324">
  <si>
    <t>A</t>
  </si>
  <si>
    <t>I</t>
  </si>
  <si>
    <t>Tổng số thu</t>
  </si>
  <si>
    <t>Thu hoạt động SX, cung ứng dịch vụ</t>
  </si>
  <si>
    <t xml:space="preserve">Thu sự nghiệp khác </t>
  </si>
  <si>
    <t>II</t>
  </si>
  <si>
    <t>Hoạt động SX, cung ứng dịch vụ</t>
  </si>
  <si>
    <t xml:space="preserve">Hoạt động sự nghiệp khác </t>
  </si>
  <si>
    <t>B</t>
  </si>
  <si>
    <t>(Dùng cho đơn vị dự toán cấp trên và đơn vị</t>
  </si>
  <si>
    <t>Quyết toán thu</t>
  </si>
  <si>
    <t>Nội dung</t>
  </si>
  <si>
    <t xml:space="preserve">Số 
TT </t>
  </si>
  <si>
    <t>Chi quản lý hành chính</t>
  </si>
  <si>
    <t>Dự toán được giao</t>
  </si>
  <si>
    <t>Số liệu quyết toán
 được duyệt</t>
  </si>
  <si>
    <t>Số liệu
 báo cáo
 quyết toán</t>
  </si>
  <si>
    <t>Quyết toán chi ngân sách nhà nước</t>
  </si>
  <si>
    <t>Trong đó</t>
  </si>
  <si>
    <t>Mua sắm, 
sửa chữa</t>
  </si>
  <si>
    <t>Trích lập các quỹ</t>
  </si>
  <si>
    <t>Số 
TT</t>
  </si>
  <si>
    <t xml:space="preserve"> dự toán sử dụng ngân sách nhà nước)</t>
  </si>
  <si>
    <t>So sánh (%)</t>
  </si>
  <si>
    <t>Dự toán</t>
  </si>
  <si>
    <t>Cùng kỳ 
năm trước</t>
  </si>
  <si>
    <t>(Dùng cho đơn vị sử dụng ngân sách)</t>
  </si>
  <si>
    <t>Dự toán năm</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</si>
  <si>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</si>
  <si>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</si>
  <si>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</si>
  <si>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</si>
  <si>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</si>
  <si>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</si>
  <si>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</si>
  <si>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</si>
  <si>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</si>
  <si>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</si>
  <si>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</si>
  <si>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</si>
  <si>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</si>
  <si>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</si>
  <si>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</si>
  <si>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</si>
  <si>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 xml:space="preserve"> Số phí, lệ phí nộp NSNN</t>
  </si>
  <si>
    <t>3.1</t>
  </si>
  <si>
    <t>3.2</t>
  </si>
  <si>
    <t>Dự toán chi ngân sách nhà nước</t>
  </si>
  <si>
    <t>Chi từ nguồn thu được để lại</t>
  </si>
  <si>
    <t>Thủ trưởng đơn vị</t>
  </si>
  <si>
    <t>Quỹ 
lương</t>
  </si>
  <si>
    <t xml:space="preserve"> Chương: 622</t>
  </si>
  <si>
    <t>(Kèm theo Quyết định số  23/QĐ- PGDĐT ngày 15/01/2018 của PGDĐT )</t>
  </si>
  <si>
    <t xml:space="preserve"> Biểu số 2 - Ban hành kèm theo Thông tư số 61/2017/TT-BTC ngày 15 tháng 6 năm 2017
 của Bộ Tài chính</t>
  </si>
  <si>
    <t>(Kèm theo Quyết định số 23 /QĐ-PGDĐ ngày 15/01/2018 của PGDĐT thị xã Bến Cát )</t>
  </si>
  <si>
    <t>Đvt: đồng</t>
  </si>
  <si>
    <t>Học phí: 60.000đ/hs/tháng</t>
  </si>
  <si>
    <t>Kinh phí nhiệm vụ thường xuyên</t>
  </si>
  <si>
    <t xml:space="preserve">Kinh phí thực hiện chế độ tự chủ </t>
  </si>
  <si>
    <t>Chi hoạt động chuyên môn</t>
  </si>
  <si>
    <t>Chi mua sắm, sửa chữa</t>
  </si>
  <si>
    <t>Chi khác</t>
  </si>
  <si>
    <t>Chi thanh toán cá nhân</t>
  </si>
  <si>
    <t>Chi sự nghiệp giáo dục</t>
  </si>
  <si>
    <t>10% tiết kiệm bổ sung CCTL</t>
  </si>
  <si>
    <t>Chi hoạt động TX, sửa chữa TX</t>
  </si>
  <si>
    <t>Chi nghiệp vụ chuyên môn</t>
  </si>
  <si>
    <t>III</t>
  </si>
  <si>
    <t xml:space="preserve">Dự toán thu - chi quỹ ngoài ngân sách </t>
  </si>
  <si>
    <t>Thư viện</t>
  </si>
  <si>
    <t>Nhân đạo</t>
  </si>
  <si>
    <t>Chữ thập đỏ</t>
  </si>
  <si>
    <t>Nước uống học sinh</t>
  </si>
  <si>
    <t>Hội PHHS</t>
  </si>
  <si>
    <t>Hội khuyến học</t>
  </si>
  <si>
    <t>BH tai nạn</t>
  </si>
  <si>
    <t>BHYT</t>
  </si>
  <si>
    <t>Phiếu liên lạc</t>
  </si>
  <si>
    <t>Phù hiệu</t>
  </si>
  <si>
    <t>Thẻ học sinh</t>
  </si>
  <si>
    <t>Học bạ, túi hồ sơ (K6)</t>
  </si>
  <si>
    <t>IV</t>
  </si>
  <si>
    <t>Dự toán thu - chi quỹ ngoài ngân sách (tiền gửi)</t>
  </si>
  <si>
    <t>10,8% CSSKBĐ</t>
  </si>
  <si>
    <t>Qũy phát triển sự nghiệp</t>
  </si>
  <si>
    <t>Qũy phúc lợi</t>
  </si>
  <si>
    <t>Qũy khen thưởng</t>
  </si>
  <si>
    <t>DỰ TOÁN THU- CHI NGÂN SÁCH NHÀ NƯỚC - QI/2018</t>
  </si>
  <si>
    <t>Người lập biểu                                                                               Thủ trưởng đơn vị</t>
  </si>
  <si>
    <t xml:space="preserve"> Biểu số 3 - Ban hành kèm theo Thông tư số 61/2017/TT-BTC ngày 15 tháng 6 năm 2017 
của Bộ Tài chính</t>
  </si>
  <si>
    <t>ĐV tính: đồng</t>
  </si>
  <si>
    <t>ĐÁNH GIÁ THỰC HIỆN DỰ TOÁN THU- CHI NGÂN SÁCH - QUÍ I/2018</t>
  </si>
  <si>
    <t>Ước thực
hiện QI/2018</t>
  </si>
  <si>
    <t>PC vượt khung : 0.2988</t>
  </si>
  <si>
    <t>BHYT : 3%</t>
  </si>
  <si>
    <t>KPCD : 2%</t>
  </si>
  <si>
    <t>BHTN : 1%</t>
  </si>
  <si>
    <t>Các khoản đóng góp</t>
  </si>
  <si>
    <t>BHXH : 17,5%</t>
  </si>
  <si>
    <t>Phụ cấp lương</t>
  </si>
  <si>
    <t>Tiền lương</t>
  </si>
  <si>
    <t>Thanh toán cá nhân</t>
  </si>
  <si>
    <t>Lương ngạch bậc</t>
  </si>
  <si>
    <t>Lương hợp đồng</t>
  </si>
  <si>
    <t>Nâng bậc, tăng lương</t>
  </si>
  <si>
    <t>Chức vụ</t>
  </si>
  <si>
    <t>PC độc hại</t>
  </si>
  <si>
    <t>PC ưu đãi</t>
  </si>
  <si>
    <t>PC trách nhiệm</t>
  </si>
  <si>
    <t>PC thâm niên</t>
  </si>
  <si>
    <t>Chi phí NVCM</t>
  </si>
  <si>
    <t>Chi phí NVCM khác</t>
  </si>
  <si>
    <t>Chi khác</t>
  </si>
  <si>
    <t>Hoạt động thường xuyên</t>
  </si>
  <si>
    <t xml:space="preserve">Hỗ trợ GV thể dục </t>
  </si>
  <si>
    <t>Dịch vụ công cộng</t>
  </si>
  <si>
    <t>Vệ sinh môi trường</t>
  </si>
  <si>
    <t>Tiền điện</t>
  </si>
  <si>
    <t>Vật tư văn phòng</t>
  </si>
  <si>
    <t>Văn phòng phẩm</t>
  </si>
  <si>
    <t>Vật tư văn phòng khác</t>
  </si>
  <si>
    <t>Thông tin liên lạc</t>
  </si>
  <si>
    <t>Điện thoại</t>
  </si>
  <si>
    <t xml:space="preserve">Internet </t>
  </si>
  <si>
    <t>Khoán điện thoại</t>
  </si>
  <si>
    <t>Công tác phí</t>
  </si>
  <si>
    <t>Tàu xe</t>
  </si>
  <si>
    <t>Phụ cấp CTP</t>
  </si>
  <si>
    <t>Lưu trú</t>
  </si>
  <si>
    <t>Khoán CTP</t>
  </si>
  <si>
    <t>Khác</t>
  </si>
  <si>
    <t>Thuê mướn</t>
  </si>
  <si>
    <t>Vận chuyển</t>
  </si>
  <si>
    <t>Thuê nhân viên dọn vệ sinh</t>
  </si>
  <si>
    <t>Đào tạo</t>
  </si>
  <si>
    <t>Sửa chữa thường xuyên</t>
  </si>
  <si>
    <t>Điều hòa nhiệt độ</t>
  </si>
  <si>
    <t>Bảo trì PCCC</t>
  </si>
  <si>
    <t>Thiết bị tin học</t>
  </si>
  <si>
    <t>SC máy photocopy</t>
  </si>
  <si>
    <t>Thiết bị điện, nước</t>
  </si>
  <si>
    <t>Tu sửa CSVC khác</t>
  </si>
  <si>
    <t>Vật tư CM</t>
  </si>
  <si>
    <t>Tài liệu CM</t>
  </si>
  <si>
    <t>Trang phục TDTT</t>
  </si>
  <si>
    <t>Khen thưởng</t>
  </si>
  <si>
    <t>Tiếp khách</t>
  </si>
  <si>
    <t xml:space="preserve">Chỉ thị 40: THTTHSTC  </t>
  </si>
  <si>
    <t>PC bí thư chi bộ</t>
  </si>
  <si>
    <t>Chi mua sắm, SC lớn (029)</t>
  </si>
  <si>
    <t>NVCM</t>
  </si>
  <si>
    <t xml:space="preserve">Hổ trợ  BV theo QĐ số 26/2011/QĐ-UBND </t>
  </si>
  <si>
    <t>Chi hỗ trợ ngày 20 /11 (78 người)</t>
  </si>
  <si>
    <t>Chi hỗ trợ NVYT, (0.3) -(QĐ 74)</t>
  </si>
  <si>
    <t>Chi hỗ trợ TTHC</t>
  </si>
  <si>
    <t>Chi hỗ trợ Thư viện</t>
  </si>
  <si>
    <t>Công cụ dụng cụ</t>
  </si>
  <si>
    <t>Bàn ghế học sinh</t>
  </si>
  <si>
    <t>Chi phí thuê mướn đào tạo</t>
  </si>
  <si>
    <t xml:space="preserve">Đào tạo tập huấn chuyên môn </t>
  </si>
  <si>
    <t>Trang phục NVBV</t>
  </si>
  <si>
    <t>Bảo hiểm cháy nổ</t>
  </si>
  <si>
    <t>Chi tiền Tết : 1.500.000 đ/người (78)</t>
  </si>
  <si>
    <t>Chi khác (Dự phòng HĐ)</t>
  </si>
  <si>
    <t>Cấp bù Học phí (bs nguồn 12)</t>
  </si>
  <si>
    <t>Thừa giờ</t>
  </si>
  <si>
    <t>Chi hỗ trợ kinh phí học tập (15hs)</t>
  </si>
  <si>
    <t>Hỗ trợ 30% KĐL (11,199*1300000*12) - QĐ số 26/2011/QĐ-UBND</t>
  </si>
  <si>
    <t xml:space="preserve">Hỗ trợ NVPV  theo QĐ số 26/2011/QĐ-UBND </t>
  </si>
  <si>
    <t>Trợ cấp khoán trọ - (QĐ 27)</t>
  </si>
  <si>
    <t>Người lập biểu</t>
  </si>
  <si>
    <t xml:space="preserve"> QUYẾT TOÁN THU - CHI NGUỒN NSNN, NGUỒN KHÁC - QUÍ I/2018</t>
  </si>
  <si>
    <t xml:space="preserve"> Biểu số 4 - Ban hành kèm theo Thông tư số 61/2017/TT-BTC ngày 15 tháng 6 năm 2017 
của Bộ Tài chính</t>
  </si>
  <si>
    <t xml:space="preserve">Quỹ ngoài ngân sách </t>
  </si>
  <si>
    <t>Ngày        tháng      năm 2018</t>
  </si>
  <si>
    <t>Thới Hòa, ngày  25  tháng 01 năm 2018</t>
  </si>
  <si>
    <t>Lương biên chế</t>
  </si>
  <si>
    <t xml:space="preserve">Trợ cấp </t>
  </si>
  <si>
    <t>Chi hỗ trợ kinh phí học tập</t>
  </si>
  <si>
    <t xml:space="preserve">Cấp bù Học phí </t>
  </si>
  <si>
    <t xml:space="preserve">          ĐV tính: đồng</t>
  </si>
  <si>
    <t>Trường THCS Mỹ Phước</t>
  </si>
  <si>
    <t>TỔNG DỰ TOÁN KINH PHÍ NĂM 2017</t>
  </si>
  <si>
    <t xml:space="preserve">Giường ngũ cho học sinh : giường tần ( 1.20 x 2.00) x 2.000.000 đ/cái x 140 cái </t>
  </si>
  <si>
    <t>Máy photo Toshiba</t>
  </si>
  <si>
    <t>Mua sắm tài sản cố định</t>
  </si>
  <si>
    <t>Bảo hiểm cháy nổ, hợp đồng NVYT, KT</t>
  </si>
  <si>
    <t>Tieàn teát 2017: 46 gv*1.000.000</t>
  </si>
  <si>
    <t>Caáp bu øhoïc phí (40% CCTL)</t>
  </si>
  <si>
    <t>Caáp bu øhoïc phí (60% HTHĐ)</t>
  </si>
  <si>
    <t>Chi khaùc</t>
  </si>
  <si>
    <t>Hội khỏe phù đổng</t>
  </si>
  <si>
    <t>Nghieäp vuï chuyeân moân</t>
  </si>
  <si>
    <t>Sửa chũa nhà vệ sinh nam</t>
  </si>
  <si>
    <t>Sửa chữa TSCĐ</t>
  </si>
  <si>
    <t>Làm sân khấu, trang trí pòng truyền thống</t>
  </si>
  <si>
    <t>Chi phí thuê mướn</t>
  </si>
  <si>
    <t>Ngày 20/11: (46 ng x 200.000)</t>
  </si>
  <si>
    <t>Đồng phục bảo vệ: 3ng x 600.000</t>
  </si>
  <si>
    <t>HT tạo nguồn (GV + HS)</t>
  </si>
  <si>
    <t>TC NVPV: 2 x 500.000x12 thaùng</t>
  </si>
  <si>
    <t>TC NVBV: 3x 600.000đx12 tháng</t>
  </si>
  <si>
    <t>Hoã trôï chi phí học tập 2016-2017</t>
  </si>
  <si>
    <t>II / NGUỒN 0212</t>
  </si>
  <si>
    <t>Chi khác (Y tế học đường)</t>
  </si>
  <si>
    <t>Chi theo TT 40:(THTT, HCTC)</t>
  </si>
  <si>
    <t>Vệ sinh, trang trí lớp :(40.000 đồng/1 lớp/ 1 năm x 12 lớp)</t>
  </si>
  <si>
    <t>Chi nước uống cho HS:(15 bình/tháng/ 1 lớp x 9 tháng x12 lớp) x 10.000 đ</t>
  </si>
  <si>
    <t>Chi nước uống cho GV:(10.000 đồng/tháng/ 1 người x 12 tháng x 45 người)</t>
  </si>
  <si>
    <t>Chi trà nước tiếp khách:</t>
  </si>
  <si>
    <t>Hổ trợ GVTD:(0.1 x 1210000 x 90 tiết/năm)</t>
  </si>
  <si>
    <t>Chi khen thưởng GV</t>
  </si>
  <si>
    <t>Chi khen thưởng HS (400.000/lớp/năm) x 12 lớp</t>
  </si>
  <si>
    <t>Chi phí khác:(Chi phí NVCM khác)</t>
  </si>
  <si>
    <t>Hội khỏe Phù Đổng:(Chi phí tập huấn, thi đấu, tiền tàu xe chở hs thi đi dự thi)</t>
  </si>
  <si>
    <t>Sinh hoạt hè :(375 hs x 5.000 đồng = 1.875.000 đồng; 4 gv hướng dẫn + 1 TPT đội x 250.000 đồng = 1.250.000 đồng)</t>
  </si>
  <si>
    <t>Trang phục TDTT, Đội :(2 gv DT x 1.260.000 đồng/người/năm = 2.520.000 đồng ; 1 TPT đội x 200.000 đồng/người/năm = 200.000)</t>
  </si>
  <si>
    <t>In ấn tài liệu chuyên môn :(200.000 đồng/ người / năm x 45 người)</t>
  </si>
  <si>
    <t xml:space="preserve">Thiết bị dạy học : 300.000 đồng/người/năm x 45 người </t>
  </si>
  <si>
    <t>Vật tư làm ĐDDH: 40 cái x200.000/1 cái</t>
  </si>
  <si>
    <t>Nghiệp vụ chuyên môn</t>
  </si>
  <si>
    <t>Sửa chữa khác :(Sửa chữa máy vi tính, máy in, máy scan, máy photocopy, hệ thống điện, 
máy bơm…: )</t>
  </si>
  <si>
    <t>Tu sửa cơ sở vật chất</t>
  </si>
  <si>
    <t>Thuê nhân công chăm sóc mảng cây xanh  : 1.000.000 x 12 tháng</t>
  </si>
  <si>
    <t>Thuê công vệ sinh trường lớp : 2 người x 3.000.000 x 9 tháng</t>
  </si>
  <si>
    <t>Thuê mướn khác :(Đào tạo, bồi dưỡng ngắn hạn, tập huấn,</t>
  </si>
  <si>
    <t>Thuê xe công tác :(Thuê xe chở học sinh thi TDTT, HS Giỏi, năng khiếu : Vòng thị xã : 30 chuyến x 500.000 đ/ 1 chuyến = 15.000.000; Vòng tỉnh: 10 chuyến x 1.000.000 /1 chuyến = 10.000.000 đồng)</t>
  </si>
  <si>
    <t>Thuê xe công tác :(Thuê xe vận chuyển thiết bị, sách giáo khoa, dụng cụ chuyên môn)</t>
  </si>
  <si>
    <t>Khoán CTP (HT &amp;KT)300.000đ/1 tháng x2 người x 12 tháng</t>
  </si>
  <si>
    <t>Thuê  phòng ngủ :(300.000 đồng/người/năm x 45 người )</t>
  </si>
  <si>
    <t>Phụ cấp công tác phí :Cá nhân đi công tác tự túc trong và ngoài tỉnh cách cơ quan (đi họp về chuyên môn, tập huấn ngắn hạn,  họp giao ban, bồi dưỡng nghiệp vụ quản lý giáo dục…) ( từ 11km đến 15km: 30.000 x 10 lần x 45 GV và từ 15 km trở lên : 50.000đồng x 10 lần/năm x 45 người )</t>
  </si>
  <si>
    <t>Tàu xe :(Cá nhân đi công tác tự túc trong và ngoài tỉnh cách cơ quan từ 15km trở lên (đi họp về chuyên môn, tập huấn ngắn hạn,  họp giao ban, bồi dưỡng nghiệp vụ quản lý giáo dục…) tính 1 vé: 12.000 đ/vé x 3 vé (1 lượt + đi về: 36.000 đồng): 36.000đồng x 20 lần/năm x 45 người)</t>
  </si>
  <si>
    <t>Trang trí, vệ sinh :(Băng rôn: 1 cái x 4 lễ x 250,000 đ/cái)</t>
  </si>
  <si>
    <t>Tiền ăn, nước uống:(4 ngày:Lễ Khai giảng, Sơ kết HKI, Tổng kết năm học, ngày Nhà Giáo Việt Nam 20/11 ngành Giáo dục)20.000*4*45
Tiền ăn: 45người x 50.000đ/ng  x 4 lễ )</t>
  </si>
  <si>
    <t>Thuê sân khấu, âm thanh:(4 ngày:Lễ Khai giảng, Sơ kết HKI, Tổng kết năm học, ngày Nhà Giáo Việt Nam 20/11 ngành Giáo dục)</t>
  </si>
  <si>
    <t>In tài liệu:(4 ngày:Lễ Khai giảng, Sơ kết HKI, Tổng kết năm học, ngày Nhà Giáo Việt Nam 20/11 )</t>
  </si>
  <si>
    <t>Hội nghị</t>
  </si>
  <si>
    <t>Khoán DT (HT &amp;KT): 2 người * 200.000 đ/ người/tháng x12 tháng</t>
  </si>
  <si>
    <t>Sách báo:(300.000đ/quí x 4 quí)</t>
  </si>
  <si>
    <t>Internet ADSL :(800.000đ x 12 tháng)</t>
  </si>
  <si>
    <t>Điện thoại :(150.000đ x 2 máy x 12 tháng)</t>
  </si>
  <si>
    <t>Vật rẻ tiền mau hỏng: (Ly, bình thủy, giấy vệ sinh, chổi, giỏ rác, …
30.000đồng /tháng x 12 tháng x 45 người )</t>
  </si>
  <si>
    <t>Mua công cụ, dụng cụ: (Máy tính cá nhân, giấy note, kim kẹp, bìa sơmi, kéo, kẹp bướm,…
50.000 đồng/người/tháng x 12 tháng x 45 người)</t>
  </si>
  <si>
    <t>Mực in A4 (3 người/máy)1 hộp/năm x 900,000 đồng/3 người x 45 người</t>
  </si>
  <si>
    <t>Mực in máy photocopy ((2 hộp/tháng x 12 tháng x 850.000 đồng/hộp)</t>
  </si>
  <si>
    <t>Mua DCVP(Máy in, màn hình máy tính, usb, ban làm việc, tủ hồ sơ…: 1.000.000đồng/người/năm x 45 người)</t>
  </si>
  <si>
    <t>VPP cá nhân (30.000 đồng/người/tháng x 12 tháng x 45người)</t>
  </si>
  <si>
    <t>Giấy A3 (04 người 01 gram/01 năm x 170.000 đồng</t>
  </si>
  <si>
    <t>Giấy A4: (01 người 02 gram/01 năm x 80.000 đồng/01 gram: 02 gram</t>
  </si>
  <si>
    <t>VPP đơn vị (3.000.000 đồng/tháng)</t>
  </si>
  <si>
    <t>Vệ sinh, môi trường: (200.000 đ/tháng)</t>
  </si>
  <si>
    <t>Thanh toán nhiên liệu : xăng chạy máy PCCC, cắt cỏ (400.000 đ/tháng)</t>
  </si>
  <si>
    <t>Điện (6.500.000/tháng x 12)</t>
  </si>
  <si>
    <t>Dịch vụ CC</t>
  </si>
  <si>
    <t>10% tiết kiệm CCTL 2017</t>
  </si>
  <si>
    <t>PC hành chính, khoán trọ, TD ngoài trời...</t>
  </si>
  <si>
    <t>Chi chênh lệch thu nhập thực tế so với lương</t>
  </si>
  <si>
    <t>Các khoản thanh toán khác cho cá nhân</t>
  </si>
  <si>
    <t>1% BHTN</t>
  </si>
  <si>
    <t xml:space="preserve">2% KPCĐ </t>
  </si>
  <si>
    <t xml:space="preserve">3% BHYT </t>
  </si>
  <si>
    <t xml:space="preserve">18 % BHXH </t>
  </si>
  <si>
    <t>PC hướng dẫn tập sự (1GV)</t>
  </si>
  <si>
    <t>Phụ cấp trách nhiệm: (0.1)</t>
  </si>
  <si>
    <t>Phụ cấp độc hại: (0.4)</t>
  </si>
  <si>
    <t>Phụ cấp chức vụ: (2,95 )</t>
  </si>
  <si>
    <t>* Dự trù nâng bậc, tăng lương 3%</t>
  </si>
  <si>
    <t>6000</t>
  </si>
  <si>
    <t>Chi con người</t>
  </si>
  <si>
    <t>I / NGUỒN  0113</t>
  </si>
  <si>
    <t>Lương biên chế: (90,31*1,300,000*12 th)</t>
  </si>
  <si>
    <t>Hợp đồng:( 57,07*1,300,000* 12 th )</t>
  </si>
  <si>
    <t>Phụ cấp ưu đãi: (32.207 )</t>
  </si>
  <si>
    <t>PC thâm niên (18.654)</t>
  </si>
  <si>
    <t>PC Vượt khung (0,3984)</t>
  </si>
  <si>
    <t>Phụ cấp 30% CBGV không trực tiếp đứng lớp, QĐ 26 (10.446*1.300.000*12)</t>
  </si>
  <si>
    <t>TC TTHC : 0.1x1.300.000 x12 tháng</t>
  </si>
  <si>
    <t>TC NV YT (0.3 * 1.300.000 * 12 T )</t>
  </si>
  <si>
    <t>TC  NV thư viện ( 0.2x1.300.000/12T) QĐ 58</t>
  </si>
  <si>
    <t>Trợ cấp Thuê trọ: 1GV x 0.7 x 1.300.000 đ x 12T</t>
  </si>
  <si>
    <t>Ñaøo taïo laïi caùn boä theo QĐ UBND tỉnh (Sơn: Thạch sỹ QLGD; Aùi, Haïnh, Nam, Hueä: Ñaïi hoïc töï tuùc)</t>
  </si>
  <si>
    <t>Sửa chữa hệ thống phòng cháy chữa cháy</t>
  </si>
  <si>
    <t>Chi chênh lệch TN thực tế</t>
  </si>
  <si>
    <t xml:space="preserve">Xăng, vật tư </t>
  </si>
  <si>
    <t>Sách báo, TC</t>
  </si>
  <si>
    <t>Trang trí, vệ sinh</t>
  </si>
  <si>
    <t>Tiền ăn, nước uống:</t>
  </si>
  <si>
    <t>Thuê sân khấu, âm thanh:</t>
  </si>
  <si>
    <t>In tài liệu</t>
  </si>
  <si>
    <t>SC CT công viên, sân TT, sân bóng...</t>
  </si>
  <si>
    <t>STT</t>
  </si>
  <si>
    <t>Tồn đầu kỳ</t>
  </si>
  <si>
    <t>Thu</t>
  </si>
  <si>
    <t>Chi</t>
  </si>
  <si>
    <t>Tồn cuối kỳ</t>
  </si>
  <si>
    <t>Ghi chú</t>
  </si>
  <si>
    <t>NỘI DUNG</t>
  </si>
  <si>
    <t>SỐ DƯ ĐK</t>
  </si>
  <si>
    <t>THU</t>
  </si>
  <si>
    <t>CHI</t>
  </si>
  <si>
    <t>TỒN</t>
  </si>
  <si>
    <t>BÁN TRÚ</t>
  </si>
  <si>
    <t xml:space="preserve">Tiền cơm </t>
  </si>
  <si>
    <t>Tiền giấy vệ sinh</t>
  </si>
  <si>
    <t xml:space="preserve">Tiền quản sinh </t>
  </si>
  <si>
    <t xml:space="preserve">Tiền học phí  buổi chiều </t>
  </si>
  <si>
    <t>(TƯ chi sữa chữa CSVC :20.000.000)</t>
  </si>
  <si>
    <t>THU HỘ</t>
  </si>
  <si>
    <t>Quỹ PHHS 2017-2018</t>
  </si>
  <si>
    <t xml:space="preserve">Tiền anh văn BN </t>
  </si>
  <si>
    <t>Quỹ nhân đạo HS 2017</t>
  </si>
  <si>
    <t>Quỹ Đội</t>
  </si>
  <si>
    <t xml:space="preserve">Quỹ Chữ thập đỏ </t>
  </si>
  <si>
    <t>Quỹ phúc lợi 17-18</t>
  </si>
  <si>
    <t xml:space="preserve">TỔNG CỘNG </t>
  </si>
  <si>
    <t>(TƯ chi sữa chữa CSVC :11.500.000)</t>
  </si>
  <si>
    <t>(TƯ chi sữa chữa CSVC :)</t>
  </si>
  <si>
    <t>Tiền anh văn BN T1,2,3</t>
  </si>
  <si>
    <t>Ngày   9      tháng   4  năm 2018</t>
  </si>
  <si>
    <t>Chi MS, SC lớn (029)</t>
  </si>
  <si>
    <t>Chi tiền Tết :1.500.000 đ/n)</t>
  </si>
  <si>
    <t>Máy chiếu, đèn chiếu</t>
  </si>
  <si>
    <t>Đào tạo tập huấn CM</t>
  </si>
  <si>
    <t>Chi nghiệp vụ CM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</si>
</sst>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
    <numFmt numFmtId="166" formatCode="_(* #,##0_);_(* \(#,##0\);_(* \-??_);_(@_)"/>
  </numFmts>
  <fonts count="73">
    <font>
      <sz val="11"/>
      <color theme="1"/>
      <name val="Calibri"/>
      <family val="2"/>
      <charset val="163"/>
      <scheme val="minor"/>
    </font>
    <font>
      <sz val="11"/>
      <color theme="1"/>
      <name val=".VnArial"/>
      <family val="2"/>
      <charset val="163"/>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sz val="10"/>
      <name val="Arial"/>
      <family val="2"/>
    </font>
    <font>
      <b/>
      <sz val="11"/>
      <color theme="1"/>
      <name val="Calibri"/>
      <family val="2"/>
      <charset val="163"/>
      <scheme val="minor"/>
    </font>
    <font>
      <b/>
      <sz val="12"/>
      <color theme="1"/>
      <name val="Times New Roman"/>
      <family val="1"/>
    </font>
    <font>
      <i/>
      <sz val="12"/>
      <color theme="1"/>
      <name val="Times New Roman"/>
      <family val="1"/>
    </font>
    <font>
      <sz val="12"/>
      <color theme="1"/>
      <name val="Times New Roman"/>
      <family val="1"/>
    </font>
    <font>
      <sz val="12"/>
      <name val="Times New Roman"/>
      <family val="1"/>
    </font>
    <font>
      <sz val="12"/>
      <color rgb="FFFF0000"/>
      <name val="Times New Roman"/>
      <family val="1"/>
    </font>
    <font>
      <sz val="11"/>
      <color theme="1"/>
      <name val="Calibri"/>
      <family val="2"/>
      <charset val="163"/>
      <scheme val="minor"/>
    </font>
    <font>
      <b/>
      <sz val="14"/>
      <color theme="1"/>
      <name val="Times New Roman"/>
      <family val="1"/>
      <charset val="163"/>
    </font>
    <font>
      <sz val="14"/>
      <color theme="1"/>
      <name val="Arial"/>
      <family val="2"/>
      <charset val="163"/>
    </font>
    <font>
      <sz val="14"/>
      <color theme="1"/>
      <name val="Times New Roman"/>
      <family val="1"/>
      <charset val="163"/>
    </font>
    <font>
      <b/>
      <sz val="14"/>
      <color theme="1"/>
      <name val="Times New Roman"/>
      <family val="1"/>
    </font>
    <font>
      <i/>
      <sz val="11"/>
      <color theme="1"/>
      <name val="Times New Roman"/>
      <family val="1"/>
    </font>
    <font>
      <sz val="14"/>
      <color theme="1"/>
      <name val="Times New Roman"/>
      <family val="1"/>
    </font>
    <font>
      <b/>
      <i/>
      <sz val="12"/>
      <color theme="1"/>
      <name val="Times New Roman"/>
      <family val="1"/>
    </font>
    <font>
      <b/>
      <sz val="12"/>
      <name val="VNI-Times"/>
    </font>
    <font>
      <b/>
      <sz val="12"/>
      <name val="Times New Roman"/>
      <family val="1"/>
    </font>
    <font>
      <sz val="12"/>
      <name val="VNI-Times"/>
    </font>
    <font>
      <b/>
      <sz val="12"/>
      <color rgb="FFFF0000"/>
      <name val="Times New Roman"/>
      <family val="1"/>
    </font>
    <font>
      <b/>
      <u/>
      <sz val="12"/>
      <name val="VNI-Times"/>
    </font>
    <font>
      <u/>
      <sz val="12"/>
      <color theme="1"/>
      <name val="Times New Roman"/>
      <family val="1"/>
    </font>
    <font>
      <u/>
      <sz val="14"/>
      <color theme="1"/>
      <name val="Times New Roman"/>
      <family val="1"/>
    </font>
    <font>
      <u/>
      <sz val="12"/>
      <name val="Times New Roman"/>
      <family val="1"/>
    </font>
    <font>
      <u/>
      <sz val="12"/>
      <name val="VNI-Times"/>
    </font>
    <font>
      <b/>
      <u/>
      <sz val="12"/>
      <color theme="1"/>
      <name val="Times New Roman"/>
      <family val="1"/>
    </font>
    <font>
      <b/>
      <sz val="14"/>
      <color rgb="FFFF0000"/>
      <name val="Times New Roman"/>
      <family val="1"/>
    </font>
    <font>
      <sz val="14"/>
      <color theme="1"/>
      <name val="Calibri"/>
      <family val="2"/>
      <charset val="163"/>
      <scheme val="minor"/>
    </font>
    <font>
      <b/>
      <i/>
      <sz val="12"/>
      <color theme="1"/>
      <name val="Times New Roman"/>
      <family val="1"/>
      <charset val="163"/>
    </font>
    <font>
      <b/>
      <sz val="14"/>
      <color theme="1"/>
      <name val="Cambria"/>
      <family val="1"/>
      <charset val="163"/>
      <scheme val="major"/>
    </font>
    <font>
      <sz val="10"/>
      <name val="Times New Roman"/>
      <family val="1"/>
    </font>
    <font>
      <sz val="11"/>
      <name val="Times New Roman"/>
      <family val="1"/>
    </font>
    <font>
      <b/>
      <sz val="10"/>
      <name val="Times New Roman"/>
      <family val="1"/>
    </font>
    <font>
      <b/>
      <sz val="11"/>
      <name val="Times New Roman"/>
      <family val="1"/>
    </font>
    <font>
      <sz val="10"/>
      <name val="VNI-Times"/>
    </font>
    <font>
      <b/>
      <sz val="10"/>
      <color rgb="FFC00000"/>
      <name val="Times New Roman"/>
      <family val="1"/>
    </font>
    <font>
      <b/>
      <sz val="12"/>
      <color rgb="FFC00000"/>
      <name val="Times New Roman"/>
      <family val="1"/>
    </font>
    <font>
      <sz val="11"/>
      <color indexed="8"/>
      <name val="Calibri"/>
      <family val="2"/>
    </font>
    <font>
      <b/>
      <sz val="10"/>
      <name val="VNI-Times"/>
    </font>
    <font>
      <sz val="11"/>
      <name val="VNI-Times"/>
    </font>
    <font>
      <b/>
      <sz val="11"/>
      <name val="VNI-Times"/>
    </font>
    <font>
      <b/>
      <u/>
      <sz val="10"/>
      <name val="VNI-Times"/>
    </font>
    <font>
      <b/>
      <u/>
      <sz val="10"/>
      <name val="Times New Roman"/>
      <family val="1"/>
    </font>
    <font>
      <b/>
      <u val="singleAccounting"/>
      <sz val="10"/>
      <color rgb="FFC00000"/>
      <name val="Times New Roman"/>
      <family val="1"/>
    </font>
    <font>
      <b/>
      <u/>
      <sz val="11"/>
      <color rgb="FFC00000"/>
      <name val="Times New Roman"/>
      <family val="1"/>
    </font>
    <font>
      <sz val="11"/>
      <color indexed="8"/>
      <name val="Times New Roman"/>
      <family val="1"/>
    </font>
    <font>
      <sz val="10"/>
      <color indexed="8"/>
      <name val="Times New Roman"/>
      <family val="1"/>
    </font>
    <font>
      <b/>
      <sz val="10"/>
      <color indexed="8"/>
      <name val="Times New Roman"/>
      <family val="1"/>
    </font>
    <font>
      <sz val="10"/>
      <name val="Calibri"/>
      <family val="2"/>
    </font>
    <font>
      <b/>
      <sz val="10"/>
      <name val="Calibri"/>
      <family val="2"/>
    </font>
    <font>
      <b/>
      <sz val="10"/>
      <name val="Times New Roman"/>
      <family val="1"/>
      <charset val="163"/>
    </font>
    <font>
      <sz val="10"/>
      <color indexed="8"/>
      <name val="Calibri"/>
      <family val="2"/>
    </font>
    <font>
      <b/>
      <sz val="10"/>
      <color indexed="8"/>
      <name val="Calibri"/>
      <family val="2"/>
    </font>
    <font>
      <b/>
      <u/>
      <sz val="11"/>
      <name val="Times New Roman"/>
      <family val="1"/>
    </font>
    <font>
      <sz val="10"/>
      <color rgb="FFFF0000"/>
      <name val="Times New Roman"/>
      <family val="1"/>
    </font>
    <font>
      <u/>
      <sz val="10"/>
      <name val="Times New Roman"/>
      <family val="1"/>
    </font>
    <font>
      <b/>
      <u/>
      <sz val="12"/>
      <name val="Times New Roman"/>
      <family val="1"/>
    </font>
    <font>
      <b/>
      <u/>
      <sz val="10"/>
      <color rgb="FFC00000"/>
      <name val="Times New Roman"/>
      <family val="1"/>
    </font>
    <font>
      <b/>
      <sz val="14"/>
      <name val="Times New Roman"/>
      <family val="1"/>
    </font>
    <font>
      <i/>
      <sz val="11"/>
      <name val="Times New Roman"/>
      <family val="1"/>
    </font>
    <font>
      <i/>
      <sz val="12"/>
      <name val="Times New Roman"/>
      <family val="1"/>
    </font>
    <font>
      <sz val="12"/>
      <color indexed="8"/>
      <name val="Calibri"/>
      <family val="2"/>
    </font>
    <font>
      <b/>
      <sz val="12"/>
      <color theme="1"/>
      <name val="Calibri"/>
      <family val="2"/>
      <scheme val="minor"/>
    </font>
    <font>
      <b/>
      <sz val="13"/>
      <name val="Times New Roman"/>
      <family val="1"/>
    </font>
    <font>
      <sz val="12"/>
      <color indexed="8"/>
      <name val="Times New Roman"/>
      <family val="1"/>
    </font>
    <font>
      <b/>
      <sz val="12"/>
      <color indexed="8"/>
      <name val="Times New Roman"/>
      <family val="1"/>
    </font>
    <font>
      <b/>
      <sz val="11"/>
      <color indexed="8"/>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8"/>
      </left>
      <right style="thin">
        <color indexed="64"/>
      </right>
      <top style="thin">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s>
  <cellStyleXfs count="9">
    <xf numFmtId="0" fontId="0" fillId="0" borderId="0"/>
    <xf numFmtId="0" fontId="7" fillId="0" borderId="0"/>
    <xf numFmtId="9" fontId="14" fillId="0" borderId="0" applyFont="0" applyFill="0" applyBorder="0" applyAlignment="0" applyProtection="0"/>
    <xf numFmtId="0" fontId="1" fillId="0" borderId="0"/>
    <xf numFmtId="43" fontId="14" fillId="0" borderId="0" applyFont="0" applyFill="0" applyBorder="0" applyAlignment="0" applyProtection="0"/>
    <xf numFmtId="0" fontId="43" fillId="0" borderId="0"/>
    <xf numFmtId="43" fontId="24" fillId="0" borderId="0" applyFont="0" applyFill="0" applyBorder="0" applyAlignment="0" applyProtection="0"/>
    <xf numFmtId="43" fontId="7" fillId="0" borderId="0" applyFont="0" applyFill="0" applyBorder="0" applyAlignment="0" applyProtection="0">
      <alignment vertical="center"/>
    </xf>
    <xf numFmtId="0" fontId="37" fillId="0" borderId="0"/>
  </cellStyleXfs>
  <cellXfs count="29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1" xfId="0" applyFont="1" applyBorder="1" applyAlignment="1">
      <alignment horizontal="center"/>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wrapText="1"/>
    </xf>
    <xf numFmtId="0" fontId="5" fillId="0" borderId="1" xfId="0" applyFont="1" applyBorder="1" applyAlignment="1">
      <alignment horizontal="left" wrapText="1"/>
    </xf>
    <xf numFmtId="0" fontId="4" fillId="0" borderId="1" xfId="0" applyFont="1" applyBorder="1" applyAlignment="1">
      <alignment horizontal="center" vertical="center" wrapText="1"/>
    </xf>
    <xf numFmtId="0" fontId="8" fillId="0" borderId="0" xfId="0" applyFont="1"/>
    <xf numFmtId="0" fontId="0" fillId="0" borderId="1" xfId="0" applyFont="1" applyBorder="1"/>
    <xf numFmtId="0" fontId="4" fillId="0" borderId="1" xfId="0" applyFont="1" applyBorder="1" applyAlignment="1">
      <alignment horizontal="center"/>
    </xf>
    <xf numFmtId="0" fontId="9" fillId="0" borderId="0" xfId="0" applyFont="1"/>
    <xf numFmtId="0" fontId="11" fillId="0" borderId="0" xfId="0" applyFont="1"/>
    <xf numFmtId="0" fontId="11" fillId="0" borderId="0" xfId="0" applyFont="1" applyAlignment="1">
      <alignment horizontal="center"/>
    </xf>
    <xf numFmtId="0" fontId="9" fillId="0" borderId="1" xfId="0" applyFont="1" applyBorder="1" applyAlignment="1">
      <alignment horizontal="right"/>
    </xf>
    <xf numFmtId="0" fontId="9" fillId="0" borderId="1" xfId="0" applyFont="1" applyBorder="1" applyAlignment="1">
      <alignment wrapText="1"/>
    </xf>
    <xf numFmtId="0" fontId="11" fillId="0" borderId="1" xfId="0" applyFont="1" applyBorder="1" applyAlignment="1">
      <alignment horizontal="right"/>
    </xf>
    <xf numFmtId="0" fontId="11" fillId="0" borderId="1" xfId="0" applyFont="1" applyBorder="1" applyAlignment="1">
      <alignment wrapText="1"/>
    </xf>
    <xf numFmtId="0" fontId="9" fillId="0" borderId="0" xfId="0" applyFont="1" applyAlignment="1">
      <alignment horizontal="center"/>
    </xf>
    <xf numFmtId="3" fontId="9" fillId="0" borderId="1" xfId="0" applyNumberFormat="1" applyFont="1" applyBorder="1"/>
    <xf numFmtId="0" fontId="15" fillId="0" borderId="0" xfId="0" applyFont="1"/>
    <xf numFmtId="0" fontId="16" fillId="0" borderId="0" xfId="0" applyFont="1"/>
    <xf numFmtId="0" fontId="17" fillId="0" borderId="0" xfId="0" applyFont="1"/>
    <xf numFmtId="0" fontId="18" fillId="0" borderId="0" xfId="0" applyFont="1"/>
    <xf numFmtId="0" fontId="20" fillId="0" borderId="0" xfId="0" applyFont="1"/>
    <xf numFmtId="0" fontId="9" fillId="0" borderId="1" xfId="0" applyFont="1" applyBorder="1" applyAlignment="1">
      <alignment horizontal="center" vertical="center"/>
    </xf>
    <xf numFmtId="0" fontId="9" fillId="0" borderId="1" xfId="0" applyFont="1" applyBorder="1" applyAlignment="1">
      <alignment horizontal="center" wrapText="1"/>
    </xf>
    <xf numFmtId="0" fontId="11" fillId="0" borderId="1" xfId="0" applyFont="1" applyBorder="1" applyAlignment="1">
      <alignment horizontal="center"/>
    </xf>
    <xf numFmtId="0" fontId="11" fillId="0" borderId="1" xfId="0" applyFont="1" applyBorder="1" applyAlignment="1">
      <alignment horizontal="left" wrapText="1"/>
    </xf>
    <xf numFmtId="0" fontId="12" fillId="0" borderId="1" xfId="0" applyFont="1" applyBorder="1" applyAlignment="1">
      <alignment horizontal="center"/>
    </xf>
    <xf numFmtId="0" fontId="9" fillId="0" borderId="1" xfId="0" applyFont="1" applyBorder="1" applyAlignment="1">
      <alignment horizontal="center"/>
    </xf>
    <xf numFmtId="0" fontId="9" fillId="0" borderId="1" xfId="0" applyFont="1" applyBorder="1"/>
    <xf numFmtId="3" fontId="11" fillId="0" borderId="1" xfId="0" applyNumberFormat="1" applyFont="1" applyBorder="1" applyAlignment="1">
      <alignment horizontal="right" vertical="top" wrapText="1"/>
    </xf>
    <xf numFmtId="3" fontId="11" fillId="0" borderId="1" xfId="0" applyNumberFormat="1" applyFont="1" applyBorder="1" applyAlignment="1">
      <alignment horizontal="right"/>
    </xf>
    <xf numFmtId="3" fontId="11" fillId="0" borderId="1" xfId="0" applyNumberFormat="1" applyFont="1" applyBorder="1" applyAlignment="1">
      <alignment horizontal="right" vertical="center" wrapText="1"/>
    </xf>
    <xf numFmtId="3" fontId="11" fillId="0" borderId="1" xfId="0" applyNumberFormat="1" applyFont="1" applyBorder="1" applyAlignment="1">
      <alignment horizontal="right" vertical="center"/>
    </xf>
    <xf numFmtId="3" fontId="9" fillId="0" borderId="1" xfId="0" applyNumberFormat="1" applyFont="1" applyBorder="1" applyAlignment="1">
      <alignment horizontal="right" vertical="center" wrapText="1"/>
    </xf>
    <xf numFmtId="3" fontId="9" fillId="0" borderId="1" xfId="0" applyNumberFormat="1" applyFont="1" applyBorder="1" applyAlignment="1">
      <alignment horizontal="right" vertical="center"/>
    </xf>
    <xf numFmtId="10" fontId="11" fillId="0" borderId="1" xfId="2" applyNumberFormat="1" applyFont="1" applyBorder="1" applyAlignment="1">
      <alignment horizontal="right" vertical="center"/>
    </xf>
    <xf numFmtId="10" fontId="11" fillId="0" borderId="1" xfId="2" applyNumberFormat="1" applyFont="1" applyBorder="1" applyAlignment="1">
      <alignment horizontal="right" vertical="top" wrapText="1"/>
    </xf>
    <xf numFmtId="10" fontId="11" fillId="0" borderId="1" xfId="2" applyNumberFormat="1" applyFont="1" applyBorder="1" applyAlignment="1">
      <alignment horizontal="right"/>
    </xf>
    <xf numFmtId="3" fontId="12" fillId="0" borderId="1" xfId="0" applyNumberFormat="1" applyFont="1" applyFill="1" applyBorder="1"/>
    <xf numFmtId="3" fontId="12" fillId="0" borderId="1" xfId="0" applyNumberFormat="1" applyFont="1" applyBorder="1"/>
    <xf numFmtId="0" fontId="23" fillId="0" borderId="1" xfId="0" applyFont="1" applyBorder="1" applyAlignment="1">
      <alignment horizontal="center"/>
    </xf>
    <xf numFmtId="3" fontId="12" fillId="0" borderId="1" xfId="0" applyNumberFormat="1" applyFont="1" applyFill="1" applyBorder="1" applyAlignment="1">
      <alignment vertical="center" wrapText="1"/>
    </xf>
    <xf numFmtId="1" fontId="13" fillId="0" borderId="1" xfId="0" applyNumberFormat="1" applyFont="1" applyFill="1" applyBorder="1" applyAlignment="1">
      <alignment horizontal="centerContinuous" vertical="center"/>
    </xf>
    <xf numFmtId="3" fontId="23" fillId="0" borderId="1" xfId="0" applyNumberFormat="1" applyFont="1" applyFill="1" applyBorder="1" applyAlignment="1">
      <alignment vertical="center" wrapText="1"/>
    </xf>
    <xf numFmtId="3" fontId="27" fillId="0" borderId="1" xfId="0" applyNumberFormat="1" applyFont="1" applyBorder="1" applyAlignment="1">
      <alignment horizontal="right" vertical="center"/>
    </xf>
    <xf numFmtId="0" fontId="27" fillId="0" borderId="0" xfId="0" applyFont="1"/>
    <xf numFmtId="0" fontId="28" fillId="0" borderId="0" xfId="0" applyFont="1"/>
    <xf numFmtId="0" fontId="23" fillId="0" borderId="1" xfId="0" applyFont="1" applyBorder="1" applyAlignment="1">
      <alignment horizontal="left"/>
    </xf>
    <xf numFmtId="3" fontId="23" fillId="0" borderId="1" xfId="0" applyNumberFormat="1" applyFont="1" applyBorder="1" applyAlignment="1">
      <alignment horizontal="right"/>
    </xf>
    <xf numFmtId="3" fontId="12" fillId="0" borderId="1" xfId="0" applyNumberFormat="1" applyFont="1" applyBorder="1" applyAlignment="1">
      <alignment vertical="center" wrapText="1"/>
    </xf>
    <xf numFmtId="3" fontId="29" fillId="0" borderId="1" xfId="0" applyNumberFormat="1" applyFont="1" applyBorder="1" applyAlignment="1">
      <alignment vertical="center" wrapText="1"/>
    </xf>
    <xf numFmtId="3" fontId="29" fillId="0" borderId="1" xfId="0" applyNumberFormat="1" applyFont="1" applyBorder="1"/>
    <xf numFmtId="1" fontId="12" fillId="0" borderId="1" xfId="0" applyNumberFormat="1" applyFont="1" applyFill="1" applyBorder="1" applyAlignment="1">
      <alignment horizontal="right" vertical="center"/>
    </xf>
    <xf numFmtId="1" fontId="12" fillId="0" borderId="1" xfId="0" quotePrefix="1" applyNumberFormat="1" applyFont="1" applyFill="1" applyBorder="1" applyAlignment="1">
      <alignment horizontal="right" vertical="center"/>
    </xf>
    <xf numFmtId="3" fontId="29" fillId="0" borderId="1" xfId="0" applyNumberFormat="1" applyFont="1" applyFill="1" applyBorder="1" applyAlignment="1">
      <alignment vertical="center" wrapText="1"/>
    </xf>
    <xf numFmtId="3" fontId="23" fillId="0" borderId="1" xfId="0" applyNumberFormat="1" applyFont="1" applyFill="1" applyBorder="1"/>
    <xf numFmtId="1" fontId="12" fillId="0" borderId="1" xfId="0" applyNumberFormat="1" applyFont="1" applyBorder="1" applyAlignment="1">
      <alignment horizontal="right" vertical="center"/>
    </xf>
    <xf numFmtId="1" fontId="12" fillId="0" borderId="1" xfId="0" quotePrefix="1" applyNumberFormat="1" applyFont="1" applyBorder="1" applyAlignment="1">
      <alignment horizontal="right" vertical="center"/>
    </xf>
    <xf numFmtId="1" fontId="23" fillId="0" borderId="1" xfId="0" applyNumberFormat="1" applyFont="1" applyFill="1" applyBorder="1" applyAlignment="1">
      <alignment horizontal="right" vertical="center"/>
    </xf>
    <xf numFmtId="3" fontId="31" fillId="0" borderId="1" xfId="0" applyNumberFormat="1" applyFont="1" applyBorder="1" applyAlignment="1">
      <alignment horizontal="right" vertical="center"/>
    </xf>
    <xf numFmtId="0" fontId="31" fillId="0" borderId="0" xfId="0" applyFont="1"/>
    <xf numFmtId="3" fontId="29" fillId="0" borderId="1" xfId="0" applyNumberFormat="1" applyFont="1" applyFill="1" applyBorder="1" applyAlignment="1">
      <alignment horizontal="left" vertical="center" wrapText="1"/>
    </xf>
    <xf numFmtId="3" fontId="29" fillId="0" borderId="1" xfId="0" applyNumberFormat="1" applyFont="1" applyFill="1" applyBorder="1"/>
    <xf numFmtId="1" fontId="29" fillId="0" borderId="1" xfId="0" quotePrefix="1" applyNumberFormat="1" applyFont="1" applyFill="1" applyBorder="1" applyAlignment="1">
      <alignment horizontal="left" vertical="center"/>
    </xf>
    <xf numFmtId="1" fontId="29" fillId="0" borderId="1" xfId="0" applyNumberFormat="1" applyFont="1" applyBorder="1" applyAlignment="1">
      <alignment horizontal="left" vertical="center"/>
    </xf>
    <xf numFmtId="1" fontId="29" fillId="0" borderId="1" xfId="0" applyNumberFormat="1" applyFont="1" applyFill="1" applyBorder="1" applyAlignment="1">
      <alignment horizontal="left" vertical="center"/>
    </xf>
    <xf numFmtId="1" fontId="29" fillId="0" borderId="1" xfId="0" quotePrefix="1" applyNumberFormat="1" applyFont="1" applyBorder="1" applyAlignment="1">
      <alignment horizontal="left" vertical="center"/>
    </xf>
    <xf numFmtId="3" fontId="12" fillId="0" borderId="1" xfId="0" applyNumberFormat="1" applyFont="1" applyFill="1" applyBorder="1" applyAlignment="1"/>
    <xf numFmtId="0" fontId="25" fillId="0" borderId="1" xfId="0" applyFont="1" applyBorder="1" applyAlignment="1">
      <alignment horizontal="center"/>
    </xf>
    <xf numFmtId="0" fontId="25" fillId="0" borderId="1" xfId="0" applyFont="1" applyBorder="1" applyAlignment="1">
      <alignment wrapText="1"/>
    </xf>
    <xf numFmtId="3" fontId="25" fillId="0" borderId="1" xfId="0" applyNumberFormat="1" applyFont="1" applyBorder="1" applyAlignment="1">
      <alignment horizontal="right" vertical="center" wrapText="1"/>
    </xf>
    <xf numFmtId="3" fontId="25" fillId="0" borderId="1" xfId="0" applyNumberFormat="1" applyFont="1" applyBorder="1" applyAlignment="1">
      <alignment horizontal="right" vertical="center"/>
    </xf>
    <xf numFmtId="0" fontId="32" fillId="0" borderId="0" xfId="0" applyFont="1"/>
    <xf numFmtId="1" fontId="24" fillId="0" borderId="1" xfId="0" quotePrefix="1" applyNumberFormat="1" applyFont="1" applyBorder="1" applyAlignment="1">
      <alignment horizontal="right" vertical="center"/>
    </xf>
    <xf numFmtId="1" fontId="24" fillId="0" borderId="1" xfId="0" applyNumberFormat="1" applyFont="1" applyBorder="1" applyAlignment="1">
      <alignment horizontal="right" vertical="center"/>
    </xf>
    <xf numFmtId="1" fontId="30" fillId="0" borderId="1" xfId="0" applyNumberFormat="1" applyFont="1" applyBorder="1" applyAlignment="1">
      <alignment horizontal="left" vertical="center"/>
    </xf>
    <xf numFmtId="1" fontId="22" fillId="0" borderId="1" xfId="0" applyNumberFormat="1" applyFont="1" applyBorder="1" applyAlignment="1">
      <alignment horizontal="right" vertical="center"/>
    </xf>
    <xf numFmtId="1" fontId="26" fillId="0" borderId="1" xfId="0" applyNumberFormat="1" applyFont="1" applyBorder="1" applyAlignment="1">
      <alignment horizontal="left" vertical="center"/>
    </xf>
    <xf numFmtId="0" fontId="11" fillId="0" borderId="1" xfId="3" applyFont="1" applyBorder="1"/>
    <xf numFmtId="0" fontId="9" fillId="0" borderId="1" xfId="3" applyFont="1" applyBorder="1"/>
    <xf numFmtId="0" fontId="12" fillId="0" borderId="1" xfId="3" applyFont="1" applyBorder="1"/>
    <xf numFmtId="3" fontId="12" fillId="0" borderId="1" xfId="0" applyNumberFormat="1" applyFont="1" applyBorder="1" applyAlignment="1">
      <alignment horizontal="right" vertical="center"/>
    </xf>
    <xf numFmtId="0" fontId="12" fillId="0" borderId="0" xfId="0" applyFont="1"/>
    <xf numFmtId="10" fontId="27" fillId="0" borderId="1" xfId="2" applyNumberFormat="1" applyFont="1" applyBorder="1" applyAlignment="1">
      <alignment horizontal="right" vertical="center"/>
    </xf>
    <xf numFmtId="10" fontId="9" fillId="0" borderId="1" xfId="2" applyNumberFormat="1" applyFont="1" applyBorder="1" applyAlignment="1">
      <alignment horizontal="right" vertical="center"/>
    </xf>
    <xf numFmtId="10" fontId="12" fillId="0" borderId="1" xfId="2" applyNumberFormat="1" applyFont="1" applyBorder="1" applyAlignment="1">
      <alignment horizontal="right" vertical="center"/>
    </xf>
    <xf numFmtId="10" fontId="31" fillId="0" borderId="1" xfId="2" applyNumberFormat="1" applyFont="1" applyBorder="1" applyAlignment="1">
      <alignment horizontal="right" vertical="center"/>
    </xf>
    <xf numFmtId="10" fontId="9" fillId="0" borderId="1" xfId="2" applyNumberFormat="1" applyFont="1" applyBorder="1"/>
    <xf numFmtId="0" fontId="33" fillId="0" borderId="0" xfId="0" applyFont="1"/>
    <xf numFmtId="0" fontId="4" fillId="0" borderId="1" xfId="0" applyFont="1" applyBorder="1" applyAlignment="1">
      <alignment wrapText="1"/>
    </xf>
    <xf numFmtId="0" fontId="34" fillId="0" borderId="1" xfId="0" applyFont="1" applyBorder="1" applyAlignment="1">
      <alignment horizontal="center"/>
    </xf>
    <xf numFmtId="0" fontId="4" fillId="0" borderId="1" xfId="0" applyFont="1" applyBorder="1"/>
    <xf numFmtId="0" fontId="35" fillId="0" borderId="0" xfId="0" applyFont="1"/>
    <xf numFmtId="0" fontId="4" fillId="0" borderId="1" xfId="0" applyFont="1" applyBorder="1" applyAlignment="1">
      <alignment horizontal="center" vertical="top" wrapText="1"/>
    </xf>
    <xf numFmtId="0" fontId="21" fillId="0" borderId="1" xfId="0" applyFont="1" applyBorder="1" applyAlignment="1">
      <alignment horizontal="center" vertical="center"/>
    </xf>
    <xf numFmtId="0" fontId="18" fillId="0" borderId="0" xfId="0" applyFont="1" applyAlignment="1">
      <alignment horizontal="center" vertical="center"/>
    </xf>
    <xf numFmtId="0" fontId="9" fillId="0" borderId="1" xfId="0" applyFont="1" applyBorder="1" applyAlignment="1">
      <alignment horizontal="left" vertical="center" wrapText="1"/>
    </xf>
    <xf numFmtId="0" fontId="0" fillId="0" borderId="1" xfId="0" applyBorder="1"/>
    <xf numFmtId="0" fontId="12" fillId="0" borderId="1" xfId="0" applyFont="1" applyBorder="1"/>
    <xf numFmtId="3" fontId="0" fillId="0" borderId="0" xfId="0" applyNumberFormat="1"/>
    <xf numFmtId="0" fontId="25" fillId="0" borderId="1" xfId="0" applyFont="1" applyBorder="1" applyAlignment="1">
      <alignment horizontal="center" vertical="center"/>
    </xf>
    <xf numFmtId="0" fontId="25" fillId="0" borderId="1" xfId="0" applyFont="1" applyBorder="1" applyAlignment="1">
      <alignment vertical="center" wrapText="1"/>
    </xf>
    <xf numFmtId="3" fontId="25" fillId="0" borderId="1" xfId="0" applyNumberFormat="1" applyFont="1" applyBorder="1" applyAlignment="1">
      <alignment vertical="center"/>
    </xf>
    <xf numFmtId="0" fontId="20" fillId="0" borderId="0" xfId="0" applyFont="1" applyAlignment="1">
      <alignment vertical="center"/>
    </xf>
    <xf numFmtId="0" fontId="0" fillId="0" borderId="1" xfId="0" applyBorder="1" applyAlignment="1">
      <alignment vertical="center"/>
    </xf>
    <xf numFmtId="0" fontId="0" fillId="0" borderId="0" xfId="0" applyAlignment="1">
      <alignment vertical="center"/>
    </xf>
    <xf numFmtId="0" fontId="23" fillId="0" borderId="0" xfId="0" applyFont="1" applyFill="1" applyAlignment="1">
      <alignment horizontal="center"/>
    </xf>
    <xf numFmtId="164" fontId="38" fillId="0" borderId="1" xfId="4" applyNumberFormat="1" applyFont="1" applyFill="1" applyBorder="1"/>
    <xf numFmtId="164" fontId="36" fillId="0" borderId="1" xfId="4" applyNumberFormat="1" applyFont="1" applyFill="1" applyBorder="1"/>
    <xf numFmtId="0" fontId="40" fillId="0" borderId="1" xfId="0" applyFont="1" applyFill="1" applyBorder="1" applyAlignment="1">
      <alignment horizontal="center"/>
    </xf>
    <xf numFmtId="164" fontId="41" fillId="2" borderId="1" xfId="4" applyNumberFormat="1" applyFont="1" applyFill="1" applyBorder="1" applyAlignment="1">
      <alignment vertical="center"/>
    </xf>
    <xf numFmtId="0" fontId="43" fillId="0" borderId="1" xfId="5" applyFont="1" applyFill="1" applyBorder="1" applyAlignment="1">
      <alignment wrapText="1"/>
    </xf>
    <xf numFmtId="0" fontId="44" fillId="0" borderId="1" xfId="0" applyFont="1" applyFill="1" applyBorder="1" applyAlignment="1">
      <alignment horizontal="center"/>
    </xf>
    <xf numFmtId="0" fontId="37" fillId="0" borderId="1" xfId="0" applyFont="1" applyFill="1" applyBorder="1"/>
    <xf numFmtId="0" fontId="39" fillId="0" borderId="1" xfId="0" applyFont="1" applyFill="1" applyBorder="1"/>
    <xf numFmtId="0" fontId="45" fillId="0" borderId="1" xfId="0" applyFont="1" applyFill="1" applyBorder="1"/>
    <xf numFmtId="3" fontId="36" fillId="0" borderId="1" xfId="0" applyNumberFormat="1" applyFont="1" applyFill="1" applyBorder="1"/>
    <xf numFmtId="0" fontId="45" fillId="0" borderId="1" xfId="0" applyFont="1" applyFill="1" applyBorder="1" applyAlignment="1">
      <alignment wrapText="1"/>
    </xf>
    <xf numFmtId="0" fontId="46" fillId="0" borderId="1" xfId="0" applyFont="1" applyFill="1" applyBorder="1"/>
    <xf numFmtId="0" fontId="47" fillId="0" borderId="1" xfId="0" applyFont="1" applyFill="1" applyBorder="1" applyAlignment="1">
      <alignment horizontal="center"/>
    </xf>
    <xf numFmtId="0" fontId="37" fillId="0" borderId="8" xfId="0" applyFont="1" applyFill="1" applyBorder="1"/>
    <xf numFmtId="0" fontId="36" fillId="0" borderId="4" xfId="0" applyFont="1" applyFill="1" applyBorder="1" applyAlignment="1">
      <alignment horizontal="center"/>
    </xf>
    <xf numFmtId="0" fontId="38" fillId="0" borderId="1" xfId="0" applyFont="1" applyFill="1" applyBorder="1" applyAlignment="1">
      <alignment horizontal="center"/>
    </xf>
    <xf numFmtId="0" fontId="37" fillId="0" borderId="1" xfId="0" applyFont="1" applyFill="1" applyBorder="1" applyAlignment="1">
      <alignment wrapText="1"/>
    </xf>
    <xf numFmtId="0" fontId="36" fillId="0" borderId="1" xfId="0" applyFont="1" applyFill="1" applyBorder="1" applyAlignment="1">
      <alignment horizontal="center"/>
    </xf>
    <xf numFmtId="0" fontId="37" fillId="0" borderId="9" xfId="0" applyFont="1" applyFill="1" applyBorder="1" applyAlignment="1">
      <alignment wrapText="1"/>
    </xf>
    <xf numFmtId="0" fontId="36" fillId="0" borderId="10" xfId="0" applyFont="1" applyFill="1" applyBorder="1" applyAlignment="1">
      <alignment horizontal="center"/>
    </xf>
    <xf numFmtId="0" fontId="37" fillId="0" borderId="2" xfId="0" applyFont="1" applyFill="1" applyBorder="1" applyAlignment="1">
      <alignment wrapText="1"/>
    </xf>
    <xf numFmtId="0" fontId="40" fillId="0" borderId="2" xfId="0" applyFont="1" applyFill="1" applyBorder="1" applyAlignment="1">
      <alignment horizontal="center"/>
    </xf>
    <xf numFmtId="0" fontId="39" fillId="0" borderId="1" xfId="0" applyFont="1" applyFill="1" applyBorder="1" applyAlignment="1">
      <alignment horizontal="left"/>
    </xf>
    <xf numFmtId="0" fontId="37" fillId="0" borderId="1" xfId="0" applyFont="1" applyFill="1" applyBorder="1" applyAlignment="1">
      <alignment horizontal="left" wrapText="1"/>
    </xf>
    <xf numFmtId="164" fontId="36" fillId="0" borderId="1" xfId="6" applyNumberFormat="1" applyFont="1" applyFill="1" applyBorder="1"/>
    <xf numFmtId="164" fontId="36" fillId="0" borderId="1" xfId="0" applyNumberFormat="1" applyFont="1" applyFill="1" applyBorder="1"/>
    <xf numFmtId="164" fontId="38" fillId="0" borderId="1" xfId="0" applyNumberFormat="1" applyFont="1" applyFill="1" applyBorder="1"/>
    <xf numFmtId="0" fontId="48" fillId="0" borderId="1" xfId="0" applyFont="1" applyFill="1" applyBorder="1" applyAlignment="1">
      <alignment horizontal="center"/>
    </xf>
    <xf numFmtId="164" fontId="49" fillId="2" borderId="1" xfId="0" applyNumberFormat="1" applyFont="1" applyFill="1" applyBorder="1" applyAlignment="1">
      <alignment horizontal="center" vertical="center"/>
    </xf>
    <xf numFmtId="164" fontId="36" fillId="0" borderId="4" xfId="7" applyNumberFormat="1" applyFont="1" applyFill="1" applyBorder="1">
      <alignment vertical="center"/>
    </xf>
    <xf numFmtId="0" fontId="51" fillId="0" borderId="1" xfId="0" applyFont="1" applyFill="1" applyBorder="1"/>
    <xf numFmtId="0" fontId="52" fillId="0" borderId="1" xfId="0" applyFont="1" applyFill="1" applyBorder="1" applyAlignment="1">
      <alignment horizontal="center"/>
    </xf>
    <xf numFmtId="0" fontId="54" fillId="0" borderId="1" xfId="5" applyFont="1" applyFill="1" applyBorder="1" applyAlignment="1">
      <alignment horizontal="center"/>
    </xf>
    <xf numFmtId="0" fontId="55" fillId="0" borderId="1" xfId="5" applyFont="1" applyFill="1" applyBorder="1" applyAlignment="1">
      <alignment horizontal="center"/>
    </xf>
    <xf numFmtId="164" fontId="56" fillId="0" borderId="4" xfId="7" applyNumberFormat="1" applyFont="1" applyFill="1" applyBorder="1">
      <alignment vertical="center"/>
    </xf>
    <xf numFmtId="0" fontId="39" fillId="0" borderId="1" xfId="5" applyFont="1" applyFill="1" applyBorder="1"/>
    <xf numFmtId="0" fontId="57" fillId="0" borderId="1" xfId="5" applyFont="1" applyFill="1" applyBorder="1" applyAlignment="1">
      <alignment horizontal="center"/>
    </xf>
    <xf numFmtId="164" fontId="48" fillId="0" borderId="1" xfId="7" applyNumberFormat="1" applyFont="1" applyFill="1" applyBorder="1">
      <alignment vertical="center"/>
    </xf>
    <xf numFmtId="0" fontId="59" fillId="0" borderId="1" xfId="5" applyFont="1" applyFill="1" applyBorder="1" applyAlignment="1">
      <alignment horizontal="center"/>
    </xf>
    <xf numFmtId="0" fontId="48" fillId="0" borderId="1" xfId="5" applyFont="1" applyFill="1" applyBorder="1" applyAlignment="1">
      <alignment horizontal="center"/>
    </xf>
    <xf numFmtId="164" fontId="36" fillId="0" borderId="1" xfId="7" applyNumberFormat="1" applyFont="1" applyFill="1" applyBorder="1">
      <alignment vertical="center"/>
    </xf>
    <xf numFmtId="164" fontId="36" fillId="0" borderId="1" xfId="7" applyNumberFormat="1" applyFont="1" applyFill="1" applyBorder="1" applyAlignment="1"/>
    <xf numFmtId="0" fontId="43" fillId="0" borderId="1" xfId="5" applyFont="1" applyFill="1" applyBorder="1"/>
    <xf numFmtId="164" fontId="38" fillId="0" borderId="1" xfId="7" applyNumberFormat="1" applyFont="1" applyFill="1" applyBorder="1">
      <alignment vertical="center"/>
    </xf>
    <xf numFmtId="164" fontId="36" fillId="0" borderId="1" xfId="7" applyNumberFormat="1" applyFont="1" applyFill="1" applyBorder="1" applyAlignment="1">
      <alignment vertical="center"/>
    </xf>
    <xf numFmtId="165" fontId="57" fillId="0" borderId="1" xfId="5" applyNumberFormat="1" applyFont="1" applyFill="1" applyBorder="1" applyAlignment="1">
      <alignment horizontal="center"/>
    </xf>
    <xf numFmtId="164" fontId="60" fillId="0" borderId="1" xfId="7" applyNumberFormat="1" applyFont="1" applyFill="1" applyBorder="1">
      <alignment vertical="center"/>
    </xf>
    <xf numFmtId="0" fontId="7" fillId="0" borderId="1" xfId="5" applyFont="1" applyFill="1" applyBorder="1" applyAlignment="1">
      <alignment wrapText="1"/>
    </xf>
    <xf numFmtId="3" fontId="36" fillId="0" borderId="1" xfId="0" applyNumberFormat="1" applyFont="1" applyFill="1" applyBorder="1" applyAlignment="1">
      <alignment vertical="center"/>
    </xf>
    <xf numFmtId="164" fontId="36" fillId="0" borderId="1" xfId="4" applyNumberFormat="1" applyFont="1" applyFill="1" applyBorder="1" applyAlignment="1">
      <alignment vertical="center"/>
    </xf>
    <xf numFmtId="166" fontId="37" fillId="0" borderId="1" xfId="0" applyNumberFormat="1" applyFont="1" applyFill="1" applyBorder="1"/>
    <xf numFmtId="0" fontId="59" fillId="0" borderId="1" xfId="5" applyFont="1" applyFill="1" applyBorder="1" applyAlignment="1">
      <alignment horizontal="left"/>
    </xf>
    <xf numFmtId="0" fontId="61" fillId="0" borderId="1" xfId="5" applyFont="1" applyFill="1" applyBorder="1" applyAlignment="1">
      <alignment horizontal="center"/>
    </xf>
    <xf numFmtId="3" fontId="38" fillId="0" borderId="1" xfId="0" applyNumberFormat="1" applyFont="1" applyFill="1" applyBorder="1" applyAlignment="1">
      <alignment horizontal="right"/>
    </xf>
    <xf numFmtId="3" fontId="38" fillId="0" borderId="1" xfId="0" applyNumberFormat="1" applyFont="1" applyFill="1" applyBorder="1" applyAlignment="1"/>
    <xf numFmtId="0" fontId="59" fillId="0" borderId="1" xfId="0" applyFont="1" applyFill="1" applyBorder="1" applyAlignment="1">
      <alignment wrapText="1"/>
    </xf>
    <xf numFmtId="0" fontId="37" fillId="0" borderId="1" xfId="1" applyFont="1" applyFill="1" applyBorder="1"/>
    <xf numFmtId="3" fontId="48" fillId="0" borderId="1" xfId="0" applyNumberFormat="1" applyFont="1" applyFill="1" applyBorder="1" applyAlignment="1">
      <alignment horizontal="center" vertical="center"/>
    </xf>
    <xf numFmtId="3" fontId="63" fillId="2" borderId="1" xfId="0" applyNumberFormat="1" applyFont="1" applyFill="1" applyBorder="1" applyAlignment="1">
      <alignment horizontal="center" vertical="center"/>
    </xf>
    <xf numFmtId="164" fontId="12" fillId="0" borderId="1" xfId="4" applyNumberFormat="1" applyFont="1" applyFill="1" applyBorder="1" applyAlignment="1">
      <alignment horizontal="center" wrapText="1"/>
    </xf>
    <xf numFmtId="0" fontId="12" fillId="0" borderId="1" xfId="0" applyFont="1" applyFill="1" applyBorder="1" applyAlignment="1">
      <alignment horizontal="right"/>
    </xf>
    <xf numFmtId="0" fontId="12" fillId="0" borderId="0" xfId="0" applyFont="1" applyFill="1"/>
    <xf numFmtId="0" fontId="64" fillId="0" borderId="0" xfId="0" applyFont="1" applyFill="1"/>
    <xf numFmtId="0" fontId="23" fillId="0" borderId="0" xfId="0" applyFont="1" applyFill="1"/>
    <xf numFmtId="3" fontId="12" fillId="0" borderId="0" xfId="0" applyNumberFormat="1" applyFont="1" applyFill="1" applyAlignment="1">
      <alignment horizontal="right"/>
    </xf>
    <xf numFmtId="0" fontId="66" fillId="0" borderId="0" xfId="0" applyFont="1" applyFill="1" applyAlignment="1">
      <alignment horizontal="right"/>
    </xf>
    <xf numFmtId="0" fontId="23" fillId="0" borderId="2" xfId="0" applyFont="1" applyFill="1" applyBorder="1" applyAlignment="1">
      <alignment horizontal="center" wrapText="1"/>
    </xf>
    <xf numFmtId="0" fontId="23" fillId="0" borderId="2" xfId="0" applyFont="1" applyFill="1" applyBorder="1" applyAlignment="1">
      <alignment horizontal="center" vertical="center"/>
    </xf>
    <xf numFmtId="0" fontId="23" fillId="0" borderId="1" xfId="0" applyFont="1" applyFill="1" applyBorder="1" applyAlignment="1">
      <alignment horizontal="right"/>
    </xf>
    <xf numFmtId="0" fontId="23" fillId="0" borderId="1" xfId="0" applyFont="1" applyFill="1" applyBorder="1" applyAlignment="1">
      <alignment wrapText="1"/>
    </xf>
    <xf numFmtId="0" fontId="12" fillId="0" borderId="1" xfId="0" applyFont="1" applyFill="1" applyBorder="1" applyAlignment="1">
      <alignment wrapText="1"/>
    </xf>
    <xf numFmtId="0" fontId="66" fillId="0" borderId="1" xfId="0" applyFont="1" applyFill="1" applyBorder="1" applyAlignment="1">
      <alignment horizontal="right"/>
    </xf>
    <xf numFmtId="0" fontId="66" fillId="0" borderId="1" xfId="0" applyFont="1" applyFill="1" applyBorder="1" applyAlignment="1">
      <alignment wrapText="1"/>
    </xf>
    <xf numFmtId="3" fontId="66" fillId="0" borderId="1" xfId="0" applyNumberFormat="1" applyFont="1" applyFill="1" applyBorder="1"/>
    <xf numFmtId="0" fontId="66" fillId="0" borderId="0" xfId="0" applyFont="1" applyFill="1"/>
    <xf numFmtId="0" fontId="48" fillId="3" borderId="1" xfId="0" applyFont="1" applyFill="1" applyBorder="1" applyAlignment="1">
      <alignment horizontal="center" vertical="center"/>
    </xf>
    <xf numFmtId="0" fontId="38" fillId="3" borderId="1" xfId="0" quotePrefix="1" applyFont="1" applyFill="1" applyBorder="1" applyAlignment="1">
      <alignment horizontal="center"/>
    </xf>
    <xf numFmtId="0" fontId="38" fillId="3" borderId="1" xfId="0" applyFont="1" applyFill="1" applyBorder="1" applyAlignment="1">
      <alignment horizontal="center"/>
    </xf>
    <xf numFmtId="0" fontId="48" fillId="3" borderId="1" xfId="5" applyFont="1" applyFill="1" applyBorder="1" applyAlignment="1">
      <alignment horizontal="center"/>
    </xf>
    <xf numFmtId="0" fontId="55" fillId="3" borderId="1" xfId="5" applyFont="1" applyFill="1" applyBorder="1" applyAlignment="1">
      <alignment horizontal="center"/>
    </xf>
    <xf numFmtId="0" fontId="58" fillId="3" borderId="1" xfId="5" applyFont="1" applyFill="1" applyBorder="1" applyAlignment="1">
      <alignment horizontal="center"/>
    </xf>
    <xf numFmtId="0" fontId="53" fillId="3" borderId="1" xfId="0" applyFont="1" applyFill="1" applyBorder="1" applyAlignment="1">
      <alignment horizontal="center"/>
    </xf>
    <xf numFmtId="0" fontId="44" fillId="3" borderId="1" xfId="0" applyFont="1" applyFill="1" applyBorder="1" applyAlignment="1">
      <alignment horizontal="center"/>
    </xf>
    <xf numFmtId="0" fontId="44" fillId="3" borderId="2" xfId="0" applyFont="1" applyFill="1" applyBorder="1" applyAlignment="1">
      <alignment horizontal="center"/>
    </xf>
    <xf numFmtId="0" fontId="38" fillId="3" borderId="11" xfId="0" applyFont="1" applyFill="1" applyBorder="1" applyAlignment="1">
      <alignment horizontal="center"/>
    </xf>
    <xf numFmtId="0" fontId="11" fillId="3" borderId="0" xfId="0" applyFont="1" applyFill="1"/>
    <xf numFmtId="0" fontId="20" fillId="3" borderId="0" xfId="0" applyFont="1" applyFill="1"/>
    <xf numFmtId="1" fontId="29" fillId="0" borderId="1" xfId="0" quotePrefix="1" applyNumberFormat="1" applyFont="1" applyFill="1" applyBorder="1" applyAlignment="1">
      <alignment horizontal="right" vertical="center"/>
    </xf>
    <xf numFmtId="0" fontId="67" fillId="0" borderId="1" xfId="5" applyFont="1" applyFill="1" applyBorder="1" applyAlignment="1">
      <alignment horizontal="left"/>
    </xf>
    <xf numFmtId="0" fontId="23" fillId="0" borderId="1" xfId="5" applyFont="1" applyFill="1" applyBorder="1"/>
    <xf numFmtId="164" fontId="23" fillId="0" borderId="1" xfId="7" applyNumberFormat="1" applyFont="1" applyFill="1" applyBorder="1">
      <alignment vertical="center"/>
    </xf>
    <xf numFmtId="0" fontId="67" fillId="0" borderId="1" xfId="5" applyFont="1" applyFill="1" applyBorder="1" applyAlignment="1">
      <alignment horizontal="right"/>
    </xf>
    <xf numFmtId="0" fontId="67" fillId="0" borderId="1" xfId="5" applyFont="1" applyFill="1" applyBorder="1" applyAlignment="1">
      <alignment wrapText="1"/>
    </xf>
    <xf numFmtId="164" fontId="12" fillId="0" borderId="1" xfId="7" applyNumberFormat="1" applyFont="1" applyFill="1" applyBorder="1" applyAlignment="1"/>
    <xf numFmtId="164" fontId="36" fillId="3" borderId="4" xfId="7" applyNumberFormat="1" applyFont="1" applyFill="1" applyBorder="1">
      <alignment vertical="center"/>
    </xf>
    <xf numFmtId="3" fontId="20" fillId="0" borderId="0" xfId="0" applyNumberFormat="1" applyFont="1"/>
    <xf numFmtId="3" fontId="62" fillId="0" borderId="1" xfId="0" applyNumberFormat="1" applyFont="1" applyFill="1" applyBorder="1"/>
    <xf numFmtId="3" fontId="62" fillId="0" borderId="1" xfId="0" applyNumberFormat="1" applyFont="1" applyBorder="1"/>
    <xf numFmtId="0" fontId="39" fillId="0" borderId="1" xfId="0" applyFont="1" applyFill="1" applyBorder="1" applyAlignment="1">
      <alignment vertical="center"/>
    </xf>
    <xf numFmtId="3" fontId="29" fillId="0" borderId="1" xfId="0" applyNumberFormat="1" applyFont="1" applyBorder="1" applyAlignment="1">
      <alignment vertical="center"/>
    </xf>
    <xf numFmtId="9" fontId="25" fillId="0" borderId="1" xfId="2" applyNumberFormat="1" applyFont="1" applyBorder="1" applyAlignment="1">
      <alignment horizontal="right" vertical="center"/>
    </xf>
    <xf numFmtId="0" fontId="68" fillId="0" borderId="0" xfId="0" applyFont="1"/>
    <xf numFmtId="3" fontId="9" fillId="0" borderId="1" xfId="0" applyNumberFormat="1" applyFont="1" applyBorder="1" applyAlignment="1">
      <alignment horizontal="center"/>
    </xf>
    <xf numFmtId="0" fontId="68" fillId="0" borderId="1" xfId="0" applyFont="1" applyBorder="1" applyAlignment="1">
      <alignment horizontal="center"/>
    </xf>
    <xf numFmtId="0" fontId="69" fillId="0" borderId="1" xfId="8" applyFont="1" applyBorder="1" applyAlignment="1">
      <alignment horizontal="center" vertical="center"/>
    </xf>
    <xf numFmtId="0" fontId="69" fillId="0" borderId="4" xfId="8" applyFont="1" applyBorder="1" applyAlignment="1">
      <alignment horizontal="center" vertical="center"/>
    </xf>
    <xf numFmtId="0" fontId="59" fillId="0" borderId="1" xfId="8" applyFont="1" applyBorder="1" applyAlignment="1">
      <alignment horizontal="center"/>
    </xf>
    <xf numFmtId="0" fontId="59" fillId="0" borderId="4" xfId="8" applyFont="1" applyBorder="1"/>
    <xf numFmtId="3" fontId="38" fillId="0" borderId="1" xfId="8" applyNumberFormat="1" applyFont="1" applyBorder="1" applyAlignment="1">
      <alignment horizontal="right"/>
    </xf>
    <xf numFmtId="0" fontId="37" fillId="0" borderId="1" xfId="8" applyFont="1" applyBorder="1" applyAlignment="1">
      <alignment horizontal="center"/>
    </xf>
    <xf numFmtId="0" fontId="37" fillId="0" borderId="4" xfId="8" applyBorder="1"/>
    <xf numFmtId="3" fontId="51" fillId="0" borderId="1" xfId="8" applyNumberFormat="1" applyFont="1" applyFill="1" applyBorder="1" applyAlignment="1" applyProtection="1">
      <alignment horizontal="right"/>
      <protection locked="0"/>
    </xf>
    <xf numFmtId="3" fontId="37" fillId="0" borderId="1" xfId="8" applyNumberFormat="1" applyFont="1" applyBorder="1"/>
    <xf numFmtId="0" fontId="37" fillId="0" borderId="1" xfId="8" applyFill="1" applyBorder="1" applyAlignment="1">
      <alignment horizontal="center"/>
    </xf>
    <xf numFmtId="0" fontId="70" fillId="0" borderId="4" xfId="8" applyNumberFormat="1" applyFont="1" applyFill="1" applyBorder="1" applyAlignment="1" applyProtection="1">
      <alignment horizontal="left"/>
      <protection locked="0"/>
    </xf>
    <xf numFmtId="3" fontId="37" fillId="0" borderId="1" xfId="8" applyNumberFormat="1" applyFont="1" applyFill="1" applyBorder="1"/>
    <xf numFmtId="0" fontId="37" fillId="0" borderId="1" xfId="8" applyBorder="1" applyAlignment="1">
      <alignment horizontal="center"/>
    </xf>
    <xf numFmtId="0" fontId="70" fillId="0" borderId="13" xfId="8" applyNumberFormat="1" applyFont="1" applyFill="1" applyBorder="1" applyAlignment="1" applyProtection="1">
      <alignment horizontal="left"/>
      <protection locked="0"/>
    </xf>
    <xf numFmtId="3" fontId="51" fillId="0" borderId="2" xfId="8" applyNumberFormat="1" applyFont="1" applyFill="1" applyBorder="1" applyAlignment="1" applyProtection="1">
      <alignment horizontal="right"/>
      <protection locked="0"/>
    </xf>
    <xf numFmtId="3" fontId="37" fillId="0" borderId="2" xfId="8" applyNumberFormat="1" applyFont="1" applyBorder="1"/>
    <xf numFmtId="3" fontId="37" fillId="0" borderId="2" xfId="8" applyNumberFormat="1" applyFont="1" applyFill="1" applyBorder="1"/>
    <xf numFmtId="0" fontId="12" fillId="0" borderId="1" xfId="8" applyFont="1" applyBorder="1" applyAlignment="1">
      <alignment horizontal="center" vertical="center"/>
    </xf>
    <xf numFmtId="0" fontId="70" fillId="0" borderId="1" xfId="8" applyNumberFormat="1" applyFont="1" applyFill="1" applyBorder="1" applyAlignment="1" applyProtection="1">
      <alignment horizontal="left"/>
      <protection locked="0"/>
    </xf>
    <xf numFmtId="3" fontId="70" fillId="0" borderId="1" xfId="8" applyNumberFormat="1" applyFont="1" applyFill="1" applyBorder="1" applyAlignment="1" applyProtection="1">
      <alignment horizontal="right"/>
      <protection locked="0"/>
    </xf>
    <xf numFmtId="3" fontId="12" fillId="0" borderId="1" xfId="8" applyNumberFormat="1" applyFont="1" applyBorder="1"/>
    <xf numFmtId="3" fontId="12" fillId="0" borderId="1" xfId="8" applyNumberFormat="1" applyFont="1" applyFill="1" applyBorder="1"/>
    <xf numFmtId="0" fontId="39" fillId="0" borderId="1" xfId="8" applyFont="1" applyBorder="1" applyAlignment="1">
      <alignment horizontal="center"/>
    </xf>
    <xf numFmtId="0" fontId="71" fillId="0" borderId="1" xfId="8" applyNumberFormat="1" applyFont="1" applyFill="1" applyBorder="1" applyAlignment="1" applyProtection="1">
      <alignment horizontal="left"/>
      <protection locked="0"/>
    </xf>
    <xf numFmtId="3" fontId="72" fillId="0" borderId="1" xfId="8" applyNumberFormat="1" applyFont="1" applyFill="1" applyBorder="1" applyAlignment="1" applyProtection="1">
      <alignment horizontal="right"/>
      <protection locked="0"/>
    </xf>
    <xf numFmtId="0" fontId="37" fillId="0" borderId="4" xfId="8" applyFont="1" applyBorder="1"/>
    <xf numFmtId="164" fontId="37" fillId="0" borderId="1" xfId="4" applyNumberFormat="1" applyFont="1" applyBorder="1"/>
    <xf numFmtId="0" fontId="37" fillId="0" borderId="4" xfId="8" applyFont="1" applyBorder="1" applyAlignment="1">
      <alignment wrapText="1"/>
    </xf>
    <xf numFmtId="164" fontId="14" fillId="0" borderId="1" xfId="4" applyNumberFormat="1" applyBorder="1"/>
    <xf numFmtId="164" fontId="39" fillId="0" borderId="1" xfId="4" applyNumberFormat="1" applyFont="1" applyBorder="1" applyAlignment="1">
      <alignment vertical="center"/>
    </xf>
    <xf numFmtId="3" fontId="12" fillId="0" borderId="2" xfId="8" applyNumberFormat="1" applyFont="1" applyFill="1" applyBorder="1"/>
    <xf numFmtId="0" fontId="66" fillId="0" borderId="0" xfId="0" applyFont="1" applyFill="1" applyAlignment="1">
      <alignment horizontal="right"/>
    </xf>
    <xf numFmtId="3" fontId="23" fillId="0" borderId="0" xfId="0" applyNumberFormat="1" applyFont="1" applyFill="1" applyAlignment="1">
      <alignment horizontal="center"/>
    </xf>
    <xf numFmtId="0" fontId="65" fillId="0" borderId="0" xfId="0" applyFont="1" applyFill="1" applyAlignment="1">
      <alignment horizontal="center" wrapText="1"/>
    </xf>
    <xf numFmtId="0" fontId="65" fillId="0" borderId="0" xfId="0" applyFont="1" applyFill="1" applyAlignment="1">
      <alignment horizontal="center"/>
    </xf>
    <xf numFmtId="0" fontId="12" fillId="0" borderId="0" xfId="0" applyFont="1" applyFill="1" applyAlignment="1">
      <alignment horizontal="center"/>
    </xf>
    <xf numFmtId="0" fontId="23" fillId="0" borderId="0" xfId="0" applyFont="1" applyFill="1" applyAlignment="1">
      <alignment horizontal="center"/>
    </xf>
    <xf numFmtId="0" fontId="64" fillId="0" borderId="0" xfId="0" applyFont="1" applyFill="1"/>
    <xf numFmtId="0" fontId="23" fillId="0" borderId="0" xfId="0" applyFont="1" applyFill="1"/>
    <xf numFmtId="0" fontId="66" fillId="0" borderId="0" xfId="0" applyFont="1" applyFill="1" applyAlignment="1">
      <alignment horizontal="center"/>
    </xf>
    <xf numFmtId="0" fontId="50" fillId="2" borderId="4" xfId="0" applyFont="1" applyFill="1" applyBorder="1" applyAlignment="1">
      <alignment horizontal="center" vertical="center"/>
    </xf>
    <xf numFmtId="0" fontId="50" fillId="2" borderId="12" xfId="0" applyFont="1" applyFill="1" applyBorder="1" applyAlignment="1">
      <alignment horizontal="center" vertical="center"/>
    </xf>
    <xf numFmtId="0" fontId="50" fillId="2" borderId="5" xfId="0" applyFont="1" applyFill="1" applyBorder="1" applyAlignment="1">
      <alignment horizontal="center" vertical="center"/>
    </xf>
    <xf numFmtId="164" fontId="42" fillId="2" borderId="1" xfId="4" applyNumberFormat="1" applyFont="1" applyFill="1" applyBorder="1" applyAlignment="1">
      <alignment horizontal="center" vertical="center"/>
    </xf>
    <xf numFmtId="0" fontId="10" fillId="0" borderId="7" xfId="0" applyFont="1" applyBorder="1" applyAlignment="1">
      <alignment horizontal="center"/>
    </xf>
    <xf numFmtId="0" fontId="9" fillId="0" borderId="0" xfId="0" applyFont="1" applyAlignment="1">
      <alignment horizontal="center"/>
    </xf>
    <xf numFmtId="0" fontId="11" fillId="0" borderId="0" xfId="0" applyFont="1" applyAlignment="1">
      <alignment horizontal="center"/>
    </xf>
    <xf numFmtId="0" fontId="10" fillId="0" borderId="6" xfId="0" applyFont="1" applyBorder="1" applyAlignment="1">
      <alignment horizontal="center"/>
    </xf>
    <xf numFmtId="0" fontId="9" fillId="0" borderId="2" xfId="0" applyFont="1" applyBorder="1" applyAlignment="1">
      <alignment horizontal="center" wrapText="1"/>
    </xf>
    <xf numFmtId="0" fontId="9" fillId="0" borderId="3" xfId="0" applyFont="1" applyBorder="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wrapText="1"/>
    </xf>
    <xf numFmtId="0" fontId="9" fillId="0" borderId="4" xfId="0" applyFont="1" applyBorder="1" applyAlignment="1">
      <alignment horizontal="center"/>
    </xf>
    <xf numFmtId="0" fontId="9" fillId="0" borderId="5" xfId="0" applyFont="1" applyBorder="1" applyAlignment="1">
      <alignment horizontal="center"/>
    </xf>
    <xf numFmtId="0" fontId="18" fillId="0" borderId="0" xfId="0" applyFont="1" applyAlignment="1">
      <alignment horizontal="center"/>
    </xf>
    <xf numFmtId="0" fontId="9" fillId="0" borderId="0" xfId="0" applyFont="1"/>
    <xf numFmtId="0" fontId="50" fillId="2" borderId="4"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0" fillId="2" borderId="5" xfId="0" applyFont="1" applyFill="1" applyBorder="1" applyAlignment="1">
      <alignment horizontal="center" vertical="center" wrapText="1"/>
    </xf>
    <xf numFmtId="0" fontId="62" fillId="0" borderId="1" xfId="0" applyFont="1" applyFill="1" applyBorder="1" applyAlignment="1">
      <alignment horizontal="center" vertical="center"/>
    </xf>
    <xf numFmtId="0" fontId="19" fillId="0" borderId="0" xfId="0" applyFont="1" applyAlignment="1">
      <alignment horizontal="center" wrapText="1"/>
    </xf>
    <xf numFmtId="0" fontId="18" fillId="0" borderId="0" xfId="0" applyFont="1"/>
    <xf numFmtId="0" fontId="39" fillId="0" borderId="1" xfId="8" applyFont="1" applyBorder="1" applyAlignment="1">
      <alignment horizontal="center" vertical="center"/>
    </xf>
    <xf numFmtId="0" fontId="10" fillId="0" borderId="0" xfId="0" applyFont="1" applyBorder="1" applyAlignment="1">
      <alignment horizontal="center"/>
    </xf>
    <xf numFmtId="0" fontId="15" fillId="0" borderId="0" xfId="0" applyFont="1"/>
    <xf numFmtId="0" fontId="4" fillId="0" borderId="0" xfId="0" applyFont="1"/>
    <xf numFmtId="0" fontId="4" fillId="0" borderId="0" xfId="0" applyFont="1" applyAlignment="1">
      <alignment horizontal="center"/>
    </xf>
    <xf numFmtId="0" fontId="5" fillId="0" borderId="0" xfId="0" applyFont="1" applyAlignment="1">
      <alignment horizontal="center"/>
    </xf>
    <xf numFmtId="0" fontId="6" fillId="0" borderId="6" xfId="0" applyFont="1" applyBorder="1" applyAlignment="1">
      <alignment horizontal="right"/>
    </xf>
    <xf numFmtId="0" fontId="6" fillId="0" borderId="0" xfId="0" applyFont="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xf>
  </cellXfs>
  <cellStyles count="9">
    <cellStyle name="Comma" xfId="4" builtinId="3"/>
    <cellStyle name="Comma 2" xfId="6"/>
    <cellStyle name="Comma 3" xfId="7"/>
    <cellStyle name="Normal" xfId="0" builtinId="0"/>
    <cellStyle name="Normal 2" xfId="1"/>
    <cellStyle name="Normal 3" xfId="3"/>
    <cellStyle name="Normal 3_DU TOAN 13,14" xfId="5"/>
    <cellStyle name="Normal_CONG KHAI TAI CHINH QUY 4" xfId="8"/>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B__Data/N&#258;M%202017/2018-2018-2018/S&#7892;%20QU&#7928;%20TI&#7872;N%20M&#7862;T%20C&#193;C%20LO&#7840;I%2017-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ước"/>
      <sheetName val="Quản sinh"/>
      <sheetName val="Giấy VS"/>
      <sheetName val="Vệ sinh"/>
      <sheetName val="CSSK"/>
      <sheetName val="PHHS"/>
      <sheetName val="Kinh Phí Rạp"/>
      <sheetName val="Nhân Đạo"/>
      <sheetName val="KH-K. Tài"/>
      <sheetName val="Điện Căn Tin"/>
      <sheetName val="CTĐ"/>
      <sheetName val="Đội"/>
      <sheetName val="Tiếp khách"/>
      <sheetName val="Cấp Độ 3"/>
      <sheetName val="20-11"/>
      <sheetName val="Phúc Lợi"/>
    </sheetNames>
    <sheetDataSet>
      <sheetData sheetId="0" refreshError="1"/>
      <sheetData sheetId="1" refreshError="1"/>
      <sheetData sheetId="2" refreshError="1"/>
      <sheetData sheetId="3" refreshError="1"/>
      <sheetData sheetId="4" refreshError="1"/>
      <sheetData sheetId="5" refreshError="1">
        <row r="45">
          <cell r="C45">
            <v>108402000</v>
          </cell>
        </row>
      </sheetData>
      <sheetData sheetId="6" refreshError="1"/>
      <sheetData sheetId="7" refreshError="1">
        <row r="31">
          <cell r="C31">
            <v>4027000</v>
          </cell>
        </row>
      </sheetData>
      <sheetData sheetId="8" refreshError="1"/>
      <sheetData sheetId="9" refreshError="1"/>
      <sheetData sheetId="10" refreshError="1">
        <row r="45">
          <cell r="F45">
            <v>1122800</v>
          </cell>
        </row>
      </sheetData>
      <sheetData sheetId="11" refreshError="1"/>
      <sheetData sheetId="12" refreshError="1"/>
      <sheetData sheetId="13" refreshError="1"/>
      <sheetData sheetId="14" refreshError="1"/>
      <sheetData sheetId="15" refreshError="1">
        <row r="77">
          <cell r="F77">
            <v>27113000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08"/>
  <sheetViews>
    <sheetView workbookViewId="0">
      <selection activeCell="H14" sqref="H14"/>
    </sheetView>
  </sheetViews>
  <sheetFormatPr defaultColWidth="9" defaultRowHeight="15.75"/>
  <cols>
    <col min="1" max="1" width="5.28515625" style="181" customWidth="1"/>
    <col min="2" max="2" width="65.5703125" style="178" customWidth="1"/>
    <col min="3" max="3" width="22.85546875" style="178" customWidth="1"/>
    <col min="4" max="16384" width="9" style="178"/>
  </cols>
  <sheetData>
    <row r="1" spans="1:3" ht="30" customHeight="1">
      <c r="A1" s="254" t="s">
        <v>53</v>
      </c>
      <c r="B1" s="255"/>
      <c r="C1" s="255"/>
    </row>
    <row r="2" spans="1:3" s="179" customFormat="1" ht="18.75">
      <c r="A2" s="258" t="s">
        <v>181</v>
      </c>
      <c r="B2" s="258"/>
    </row>
    <row r="3" spans="1:3" s="180" customFormat="1">
      <c r="A3" s="259" t="s">
        <v>51</v>
      </c>
      <c r="B3" s="259"/>
    </row>
    <row r="4" spans="1:3" ht="28.15" customHeight="1">
      <c r="A4" s="257" t="s">
        <v>87</v>
      </c>
      <c r="B4" s="257"/>
      <c r="C4" s="257"/>
    </row>
    <row r="5" spans="1:3">
      <c r="A5" s="260" t="s">
        <v>54</v>
      </c>
      <c r="B5" s="260"/>
      <c r="C5" s="260"/>
    </row>
    <row r="6" spans="1:3">
      <c r="A6" s="256" t="s">
        <v>26</v>
      </c>
      <c r="B6" s="256"/>
      <c r="C6" s="256"/>
    </row>
    <row r="7" spans="1:3">
      <c r="C7" s="182" t="s">
        <v>55</v>
      </c>
    </row>
    <row r="8" spans="1:3" s="116" customFormat="1" ht="31.5">
      <c r="A8" s="183" t="s">
        <v>12</v>
      </c>
      <c r="B8" s="184" t="s">
        <v>11</v>
      </c>
      <c r="C8" s="184" t="s">
        <v>14</v>
      </c>
    </row>
    <row r="9" spans="1:3" s="180" customFormat="1" ht="15.75" customHeight="1">
      <c r="A9" s="185" t="s">
        <v>1</v>
      </c>
      <c r="B9" s="186" t="s">
        <v>28</v>
      </c>
      <c r="C9" s="65">
        <f>C10</f>
        <v>204930000</v>
      </c>
    </row>
    <row r="10" spans="1:3">
      <c r="A10" s="177">
        <v>1</v>
      </c>
      <c r="B10" s="187" t="s">
        <v>29</v>
      </c>
      <c r="C10" s="48">
        <f>C12</f>
        <v>204930000</v>
      </c>
    </row>
    <row r="11" spans="1:3">
      <c r="A11" s="177" t="s">
        <v>30</v>
      </c>
      <c r="B11" s="187" t="s">
        <v>31</v>
      </c>
      <c r="C11" s="48"/>
    </row>
    <row r="12" spans="1:3">
      <c r="A12" s="177"/>
      <c r="B12" s="187" t="s">
        <v>56</v>
      </c>
      <c r="C12" s="176">
        <f>113250000+91680000</f>
        <v>204930000</v>
      </c>
    </row>
    <row r="13" spans="1:3">
      <c r="A13" s="177" t="s">
        <v>32</v>
      </c>
      <c r="B13" s="187" t="s">
        <v>33</v>
      </c>
      <c r="C13" s="48"/>
    </row>
    <row r="14" spans="1:3">
      <c r="A14" s="177">
        <v>2</v>
      </c>
      <c r="B14" s="187" t="s">
        <v>34</v>
      </c>
      <c r="C14" s="48"/>
    </row>
    <row r="15" spans="1:3">
      <c r="A15" s="177" t="s">
        <v>35</v>
      </c>
      <c r="B15" s="187" t="s">
        <v>63</v>
      </c>
      <c r="C15" s="48"/>
    </row>
    <row r="16" spans="1:3" s="191" customFormat="1">
      <c r="A16" s="188" t="s">
        <v>37</v>
      </c>
      <c r="B16" s="189" t="s">
        <v>57</v>
      </c>
      <c r="C16" s="190"/>
    </row>
    <row r="17" spans="1:3" s="191" customFormat="1">
      <c r="A17" s="188" t="s">
        <v>39</v>
      </c>
      <c r="B17" s="189" t="s">
        <v>40</v>
      </c>
      <c r="C17" s="190"/>
    </row>
    <row r="18" spans="1:3">
      <c r="A18" s="177" t="s">
        <v>41</v>
      </c>
      <c r="B18" s="187" t="s">
        <v>13</v>
      </c>
      <c r="C18" s="48"/>
    </row>
    <row r="19" spans="1:3" s="191" customFormat="1">
      <c r="A19" s="188" t="s">
        <v>37</v>
      </c>
      <c r="B19" s="189" t="s">
        <v>58</v>
      </c>
      <c r="C19" s="190">
        <f>SUM(C20:C23)</f>
        <v>204930000</v>
      </c>
    </row>
    <row r="20" spans="1:3">
      <c r="A20" s="177"/>
      <c r="B20" s="187" t="s">
        <v>62</v>
      </c>
      <c r="C20" s="48">
        <f>C12*40%</f>
        <v>81972000</v>
      </c>
    </row>
    <row r="21" spans="1:3">
      <c r="A21" s="177"/>
      <c r="B21" s="187" t="s">
        <v>59</v>
      </c>
      <c r="C21" s="48">
        <v>40986000</v>
      </c>
    </row>
    <row r="22" spans="1:3">
      <c r="A22" s="177"/>
      <c r="B22" s="187" t="s">
        <v>60</v>
      </c>
      <c r="C22" s="48">
        <v>50000000</v>
      </c>
    </row>
    <row r="23" spans="1:3">
      <c r="A23" s="177"/>
      <c r="B23" s="187" t="s">
        <v>61</v>
      </c>
      <c r="C23" s="48">
        <v>31972000</v>
      </c>
    </row>
    <row r="24" spans="1:3" s="191" customFormat="1">
      <c r="A24" s="188" t="s">
        <v>39</v>
      </c>
      <c r="B24" s="189" t="s">
        <v>43</v>
      </c>
      <c r="C24" s="190"/>
    </row>
    <row r="25" spans="1:3">
      <c r="A25" s="177">
        <v>3</v>
      </c>
      <c r="B25" s="187" t="s">
        <v>44</v>
      </c>
      <c r="C25" s="48"/>
    </row>
    <row r="26" spans="1:3">
      <c r="A26" s="177" t="s">
        <v>45</v>
      </c>
      <c r="B26" s="187" t="s">
        <v>31</v>
      </c>
      <c r="C26" s="48"/>
    </row>
    <row r="27" spans="1:3">
      <c r="A27" s="177" t="s">
        <v>46</v>
      </c>
      <c r="B27" s="187" t="s">
        <v>33</v>
      </c>
      <c r="C27" s="48"/>
    </row>
    <row r="28" spans="1:3" s="180" customFormat="1">
      <c r="A28" s="185" t="s">
        <v>5</v>
      </c>
      <c r="B28" s="186" t="s">
        <v>47</v>
      </c>
      <c r="C28" s="65">
        <f>C29</f>
        <v>6414216118</v>
      </c>
    </row>
    <row r="29" spans="1:3">
      <c r="A29" s="177">
        <v>1</v>
      </c>
      <c r="B29" s="187" t="s">
        <v>13</v>
      </c>
      <c r="C29" s="48">
        <f>C30+C35</f>
        <v>6414216118</v>
      </c>
    </row>
    <row r="30" spans="1:3">
      <c r="A30" s="177" t="s">
        <v>30</v>
      </c>
      <c r="B30" s="187" t="s">
        <v>42</v>
      </c>
      <c r="C30" s="190">
        <f>SUM(C31:C34)</f>
        <v>4922010518</v>
      </c>
    </row>
    <row r="31" spans="1:3" ht="15.75" customHeight="1">
      <c r="A31" s="177"/>
      <c r="B31" s="187" t="s">
        <v>62</v>
      </c>
      <c r="C31" s="48">
        <v>3848810518</v>
      </c>
    </row>
    <row r="32" spans="1:3">
      <c r="A32" s="177"/>
      <c r="B32" s="187" t="s">
        <v>65</v>
      </c>
      <c r="C32" s="48">
        <v>664054500</v>
      </c>
    </row>
    <row r="33" spans="1:3">
      <c r="A33" s="177"/>
      <c r="B33" s="187" t="s">
        <v>61</v>
      </c>
      <c r="C33" s="48">
        <v>117455500</v>
      </c>
    </row>
    <row r="34" spans="1:3">
      <c r="A34" s="177"/>
      <c r="B34" s="187" t="s">
        <v>64</v>
      </c>
      <c r="C34" s="48">
        <v>291690000</v>
      </c>
    </row>
    <row r="35" spans="1:3">
      <c r="A35" s="177" t="s">
        <v>32</v>
      </c>
      <c r="B35" s="187" t="s">
        <v>43</v>
      </c>
      <c r="C35" s="190">
        <f>SUM(C36:C39)</f>
        <v>1492205600</v>
      </c>
    </row>
    <row r="36" spans="1:3">
      <c r="A36" s="177"/>
      <c r="B36" s="187" t="s">
        <v>62</v>
      </c>
      <c r="C36" s="48">
        <v>906075600</v>
      </c>
    </row>
    <row r="37" spans="1:3">
      <c r="A37" s="177"/>
      <c r="B37" s="187" t="s">
        <v>66</v>
      </c>
      <c r="C37" s="48">
        <v>165000000</v>
      </c>
    </row>
    <row r="38" spans="1:3">
      <c r="A38" s="177"/>
      <c r="B38" s="187" t="s">
        <v>149</v>
      </c>
      <c r="C38" s="48">
        <v>350000000</v>
      </c>
    </row>
    <row r="39" spans="1:3">
      <c r="A39" s="177"/>
      <c r="B39" s="187" t="s">
        <v>61</v>
      </c>
      <c r="C39" s="48">
        <v>71130000</v>
      </c>
    </row>
    <row r="40" spans="1:3" ht="15.75" customHeight="1">
      <c r="A40" s="185" t="s">
        <v>67</v>
      </c>
      <c r="B40" s="186" t="s">
        <v>68</v>
      </c>
      <c r="C40" s="65">
        <f>SUM(C41:C52)</f>
        <v>370252500</v>
      </c>
    </row>
    <row r="41" spans="1:3">
      <c r="A41" s="177">
        <v>1</v>
      </c>
      <c r="B41" s="187" t="s">
        <v>69</v>
      </c>
      <c r="C41" s="48"/>
    </row>
    <row r="42" spans="1:3" ht="15.75" customHeight="1">
      <c r="A42" s="177">
        <v>2</v>
      </c>
      <c r="B42" s="187" t="s">
        <v>70</v>
      </c>
      <c r="C42" s="48">
        <v>2427000</v>
      </c>
    </row>
    <row r="43" spans="1:3" ht="15.75" customHeight="1">
      <c r="A43" s="177">
        <v>3</v>
      </c>
      <c r="B43" s="187" t="s">
        <v>71</v>
      </c>
      <c r="C43" s="48">
        <f>3820000</f>
        <v>3820000</v>
      </c>
    </row>
    <row r="44" spans="1:3" ht="15.75" customHeight="1">
      <c r="A44" s="177">
        <v>4</v>
      </c>
      <c r="B44" s="187" t="s">
        <v>72</v>
      </c>
      <c r="C44" s="48">
        <f>382*10000*4</f>
        <v>15280000</v>
      </c>
    </row>
    <row r="45" spans="1:3" ht="15.75" customHeight="1">
      <c r="A45" s="177">
        <v>5</v>
      </c>
      <c r="B45" s="187" t="s">
        <v>73</v>
      </c>
      <c r="C45" s="48">
        <v>112050000</v>
      </c>
    </row>
    <row r="46" spans="1:3" ht="15.75" customHeight="1">
      <c r="A46" s="177">
        <v>6</v>
      </c>
      <c r="B46" s="187" t="s">
        <v>74</v>
      </c>
      <c r="C46" s="48">
        <v>39819500</v>
      </c>
    </row>
    <row r="47" spans="1:3" ht="15.75" customHeight="1">
      <c r="A47" s="177">
        <v>7</v>
      </c>
      <c r="B47" s="187" t="s">
        <v>75</v>
      </c>
      <c r="C47" s="48">
        <v>56918000</v>
      </c>
    </row>
    <row r="48" spans="1:3" ht="15.75" customHeight="1">
      <c r="A48" s="177">
        <v>8</v>
      </c>
      <c r="B48" s="187" t="s">
        <v>76</v>
      </c>
      <c r="C48" s="48">
        <v>105084000</v>
      </c>
    </row>
    <row r="49" spans="1:3" ht="15.75" customHeight="1">
      <c r="A49" s="177">
        <v>9</v>
      </c>
      <c r="B49" s="187" t="s">
        <v>77</v>
      </c>
      <c r="C49" s="48">
        <v>26740000</v>
      </c>
    </row>
    <row r="50" spans="1:3">
      <c r="A50" s="177">
        <v>10</v>
      </c>
      <c r="B50" s="187" t="s">
        <v>78</v>
      </c>
      <c r="C50" s="48">
        <v>8114000</v>
      </c>
    </row>
    <row r="51" spans="1:3" hidden="1">
      <c r="A51" s="177">
        <v>11</v>
      </c>
      <c r="B51" s="187" t="s">
        <v>79</v>
      </c>
      <c r="C51" s="48">
        <v>0</v>
      </c>
    </row>
    <row r="52" spans="1:3" ht="15.75" hidden="1" customHeight="1">
      <c r="A52" s="177">
        <v>12</v>
      </c>
      <c r="B52" s="187" t="s">
        <v>80</v>
      </c>
      <c r="C52" s="48">
        <v>0</v>
      </c>
    </row>
    <row r="53" spans="1:3">
      <c r="A53" s="185" t="s">
        <v>81</v>
      </c>
      <c r="B53" s="186" t="s">
        <v>82</v>
      </c>
      <c r="C53" s="65">
        <f>SUM(C54:C57)</f>
        <v>63125000</v>
      </c>
    </row>
    <row r="54" spans="1:3">
      <c r="A54" s="177">
        <v>1</v>
      </c>
      <c r="B54" s="187" t="s">
        <v>84</v>
      </c>
      <c r="C54" s="48">
        <v>0</v>
      </c>
    </row>
    <row r="55" spans="1:3">
      <c r="A55" s="177">
        <v>2</v>
      </c>
      <c r="B55" s="187" t="s">
        <v>85</v>
      </c>
      <c r="C55" s="48">
        <v>45000000</v>
      </c>
    </row>
    <row r="56" spans="1:3">
      <c r="A56" s="177">
        <v>3</v>
      </c>
      <c r="B56" s="187" t="s">
        <v>86</v>
      </c>
      <c r="C56" s="48">
        <v>0</v>
      </c>
    </row>
    <row r="57" spans="1:3">
      <c r="A57" s="177">
        <v>4</v>
      </c>
      <c r="B57" s="187" t="s">
        <v>83</v>
      </c>
      <c r="C57" s="48">
        <v>18125000</v>
      </c>
    </row>
    <row r="59" spans="1:3">
      <c r="B59" s="252" t="s">
        <v>175</v>
      </c>
      <c r="C59" s="252"/>
    </row>
    <row r="60" spans="1:3">
      <c r="A60" s="253" t="s">
        <v>88</v>
      </c>
      <c r="B60" s="253"/>
      <c r="C60" s="253"/>
    </row>
    <row r="105" s="178" customFormat="1" ht="15.75" customHeight="1"/>
    <row r="108" s="178" customFormat="1" ht="15.75" customHeight="1"/>
  </sheetData>
  <mergeCells count="8">
    <mergeCell ref="B59:C59"/>
    <mergeCell ref="A60:C60"/>
    <mergeCell ref="A1:C1"/>
    <mergeCell ref="A6:C6"/>
    <mergeCell ref="A4:C4"/>
    <mergeCell ref="A2:B2"/>
    <mergeCell ref="A3:B3"/>
    <mergeCell ref="A5:C5"/>
  </mergeCells>
  <pageMargins left="0.51181102362204722" right="0.11811023622047245" top="0.70866141732283472" bottom="0.55118110236220474"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40"/>
  <sheetViews>
    <sheetView workbookViewId="0">
      <selection activeCell="B133" sqref="B133"/>
    </sheetView>
  </sheetViews>
  <sheetFormatPr defaultColWidth="8.85546875" defaultRowHeight="18.75"/>
  <cols>
    <col min="1" max="1" width="7.140625" style="31" customWidth="1"/>
    <col min="2" max="2" width="37.85546875" style="31" customWidth="1"/>
    <col min="3" max="3" width="16.7109375" style="31" customWidth="1"/>
    <col min="4" max="4" width="14.140625" style="31" customWidth="1"/>
    <col min="5" max="5" width="10.28515625" style="31" customWidth="1"/>
    <col min="6" max="6" width="11.42578125" style="31" customWidth="1"/>
    <col min="7" max="7" width="10.42578125" style="203" hidden="1" customWidth="1"/>
    <col min="8" max="8" width="5.140625" style="31" hidden="1" customWidth="1"/>
    <col min="9" max="9" width="36.5703125" style="31" hidden="1" customWidth="1"/>
    <col min="10" max="10" width="13.5703125" style="31" hidden="1" customWidth="1"/>
    <col min="11" max="11" width="8.85546875" style="31" hidden="1" customWidth="1"/>
    <col min="12" max="12" width="13" style="31" hidden="1" customWidth="1"/>
    <col min="13" max="16384" width="8.85546875" style="31"/>
  </cols>
  <sheetData>
    <row r="1" spans="1:12" ht="30.6" customHeight="1">
      <c r="A1" s="284" t="s">
        <v>89</v>
      </c>
      <c r="B1" s="284"/>
      <c r="C1" s="284"/>
      <c r="D1" s="284"/>
      <c r="E1" s="284"/>
      <c r="F1" s="284"/>
      <c r="G1" s="280" t="s">
        <v>269</v>
      </c>
      <c r="H1" s="281"/>
      <c r="I1" s="282"/>
      <c r="J1" s="175">
        <f>J2+J43+J89</f>
        <v>4922010518.3999996</v>
      </c>
    </row>
    <row r="2" spans="1:12">
      <c r="A2" s="285" t="str">
        <f>'Bieu 2'!A2:B2</f>
        <v>Trường THCS Mỹ Phước</v>
      </c>
      <c r="B2" s="285"/>
      <c r="C2" s="30"/>
      <c r="E2" s="278"/>
      <c r="F2" s="278"/>
      <c r="G2" s="192" t="s">
        <v>1</v>
      </c>
      <c r="H2" s="283" t="s">
        <v>268</v>
      </c>
      <c r="I2" s="283"/>
      <c r="J2" s="174">
        <f>J3+J6+J7+J15</f>
        <v>3848810518.4000001</v>
      </c>
    </row>
    <row r="3" spans="1:12">
      <c r="A3" s="279" t="str">
        <f>'Bieu 2'!A3:B3</f>
        <v xml:space="preserve"> Chương: 622</v>
      </c>
      <c r="B3" s="279"/>
      <c r="C3" s="18"/>
      <c r="D3" s="19"/>
      <c r="E3" s="19"/>
      <c r="F3" s="18"/>
      <c r="G3" s="193" t="s">
        <v>267</v>
      </c>
      <c r="H3" s="132"/>
      <c r="I3" s="124" t="s">
        <v>100</v>
      </c>
      <c r="J3" s="170">
        <f>SUM(J4:J5)</f>
        <v>2299128000</v>
      </c>
    </row>
    <row r="4" spans="1:12">
      <c r="A4" s="266" t="s">
        <v>91</v>
      </c>
      <c r="B4" s="266"/>
      <c r="C4" s="266"/>
      <c r="D4" s="266"/>
      <c r="E4" s="266"/>
      <c r="F4" s="266"/>
      <c r="G4" s="194"/>
      <c r="H4" s="134">
        <v>6001</v>
      </c>
      <c r="I4" s="173" t="s">
        <v>270</v>
      </c>
      <c r="J4" s="118">
        <f>90.31*1300000*12</f>
        <v>1408836000</v>
      </c>
    </row>
    <row r="5" spans="1:12">
      <c r="A5" s="267" t="s">
        <v>9</v>
      </c>
      <c r="B5" s="267"/>
      <c r="C5" s="267"/>
      <c r="D5" s="267"/>
      <c r="E5" s="267"/>
      <c r="F5" s="267"/>
      <c r="G5" s="194"/>
      <c r="H5" s="134">
        <v>6003</v>
      </c>
      <c r="I5" s="173" t="s">
        <v>271</v>
      </c>
      <c r="J5" s="118">
        <f>57.07*1300000*12</f>
        <v>890292000</v>
      </c>
    </row>
    <row r="6" spans="1:12">
      <c r="A6" s="267" t="s">
        <v>22</v>
      </c>
      <c r="B6" s="267"/>
      <c r="C6" s="267"/>
      <c r="D6" s="267"/>
      <c r="E6" s="267"/>
      <c r="F6" s="267"/>
      <c r="G6" s="194"/>
      <c r="H6" s="132"/>
      <c r="I6" s="172" t="s">
        <v>266</v>
      </c>
      <c r="J6" s="117">
        <v>70580000</v>
      </c>
    </row>
    <row r="7" spans="1:12">
      <c r="A7" s="20"/>
      <c r="B7" s="20"/>
      <c r="C7" s="20"/>
      <c r="D7" s="20"/>
      <c r="E7" s="268" t="s">
        <v>90</v>
      </c>
      <c r="F7" s="268"/>
      <c r="G7" s="194">
        <v>6100</v>
      </c>
      <c r="H7" s="144"/>
      <c r="I7" s="124" t="s">
        <v>99</v>
      </c>
      <c r="J7" s="171">
        <f>SUM(J8:J14)</f>
        <v>858146640</v>
      </c>
    </row>
    <row r="8" spans="1:12" ht="21.75" customHeight="1">
      <c r="A8" s="269" t="s">
        <v>12</v>
      </c>
      <c r="B8" s="271" t="s">
        <v>11</v>
      </c>
      <c r="C8" s="273" t="s">
        <v>27</v>
      </c>
      <c r="D8" s="269" t="s">
        <v>92</v>
      </c>
      <c r="E8" s="276" t="s">
        <v>23</v>
      </c>
      <c r="F8" s="277"/>
      <c r="G8" s="194"/>
      <c r="H8" s="134">
        <v>6101</v>
      </c>
      <c r="I8" s="123" t="s">
        <v>265</v>
      </c>
      <c r="J8" s="118">
        <f>2.95*1300000*12</f>
        <v>46020000</v>
      </c>
    </row>
    <row r="9" spans="1:12" ht="39" customHeight="1">
      <c r="A9" s="270"/>
      <c r="B9" s="272"/>
      <c r="C9" s="274"/>
      <c r="D9" s="275"/>
      <c r="E9" s="32" t="s">
        <v>24</v>
      </c>
      <c r="F9" s="33" t="s">
        <v>25</v>
      </c>
      <c r="G9" s="194"/>
      <c r="H9" s="134">
        <v>6107</v>
      </c>
      <c r="I9" s="123" t="s">
        <v>264</v>
      </c>
      <c r="J9" s="118">
        <f>0.4*1300000*12</f>
        <v>6240000</v>
      </c>
    </row>
    <row r="10" spans="1:12" s="105" customFormat="1" ht="36.6" customHeight="1">
      <c r="A10" s="32" t="s">
        <v>1</v>
      </c>
      <c r="B10" s="106" t="s">
        <v>28</v>
      </c>
      <c r="C10" s="44">
        <f>C11</f>
        <v>204930000</v>
      </c>
      <c r="D10" s="44">
        <f t="shared" ref="D10:E10" si="0">D11</f>
        <v>0</v>
      </c>
      <c r="E10" s="94">
        <f t="shared" si="0"/>
        <v>0</v>
      </c>
      <c r="F10" s="104"/>
      <c r="G10" s="194"/>
      <c r="H10" s="134">
        <v>6112</v>
      </c>
      <c r="I10" s="123" t="s">
        <v>272</v>
      </c>
      <c r="J10" s="118">
        <f>32.207*1300000*12</f>
        <v>502429200</v>
      </c>
    </row>
    <row r="11" spans="1:12" ht="16.899999999999999" customHeight="1">
      <c r="A11" s="34">
        <v>1</v>
      </c>
      <c r="B11" s="24" t="s">
        <v>29</v>
      </c>
      <c r="C11" s="39">
        <f>C13</f>
        <v>204930000</v>
      </c>
      <c r="D11" s="39">
        <f>D13</f>
        <v>0</v>
      </c>
      <c r="E11" s="46">
        <f>E13</f>
        <v>0</v>
      </c>
      <c r="F11" s="40"/>
      <c r="G11" s="194"/>
      <c r="H11" s="134">
        <v>6113</v>
      </c>
      <c r="I11" s="123" t="s">
        <v>263</v>
      </c>
      <c r="J11" s="118">
        <f>0.1*1300000*12</f>
        <v>1560000</v>
      </c>
      <c r="L11" s="212">
        <f>J1-C27</f>
        <v>0</v>
      </c>
    </row>
    <row r="12" spans="1:12" ht="16.899999999999999" customHeight="1">
      <c r="A12" s="23" t="s">
        <v>30</v>
      </c>
      <c r="B12" s="24" t="s">
        <v>31</v>
      </c>
      <c r="C12" s="39"/>
      <c r="D12" s="40"/>
      <c r="E12" s="47"/>
      <c r="F12" s="40"/>
      <c r="G12" s="194"/>
      <c r="H12" s="134">
        <v>6113</v>
      </c>
      <c r="I12" s="123" t="s">
        <v>262</v>
      </c>
      <c r="J12" s="118">
        <f>0.3*1300000*12</f>
        <v>4680000</v>
      </c>
    </row>
    <row r="13" spans="1:12" ht="16.899999999999999" customHeight="1">
      <c r="A13" s="23"/>
      <c r="B13" s="24" t="s">
        <v>56</v>
      </c>
      <c r="C13" s="41">
        <f>'Bieu 2'!C12</f>
        <v>204930000</v>
      </c>
      <c r="D13" s="42">
        <v>0</v>
      </c>
      <c r="E13" s="45">
        <f>D13/C13*100%</f>
        <v>0</v>
      </c>
      <c r="F13" s="45"/>
      <c r="G13" s="194"/>
      <c r="H13" s="134">
        <v>6115</v>
      </c>
      <c r="I13" s="123" t="s">
        <v>273</v>
      </c>
      <c r="J13" s="118">
        <f>18.654*1300000*12</f>
        <v>291002400</v>
      </c>
    </row>
    <row r="14" spans="1:12" ht="16.899999999999999" customHeight="1">
      <c r="A14" s="23" t="s">
        <v>32</v>
      </c>
      <c r="B14" s="24" t="s">
        <v>33</v>
      </c>
      <c r="C14" s="41"/>
      <c r="D14" s="42"/>
      <c r="E14" s="42"/>
      <c r="F14" s="42"/>
      <c r="G14" s="194"/>
      <c r="H14" s="134">
        <v>6117</v>
      </c>
      <c r="I14" s="123" t="s">
        <v>274</v>
      </c>
      <c r="J14" s="118">
        <f>0.3984*1300000*12</f>
        <v>6215039.9999999991</v>
      </c>
    </row>
    <row r="15" spans="1:12" ht="16.899999999999999" customHeight="1">
      <c r="A15" s="34">
        <v>2</v>
      </c>
      <c r="B15" s="24" t="s">
        <v>34</v>
      </c>
      <c r="C15" s="41"/>
      <c r="D15" s="42"/>
      <c r="E15" s="42"/>
      <c r="F15" s="42"/>
      <c r="G15" s="194">
        <v>6300</v>
      </c>
      <c r="H15" s="134"/>
      <c r="I15" s="124" t="s">
        <v>97</v>
      </c>
      <c r="J15" s="170">
        <f>SUM(J16:J19)</f>
        <v>620955878.39999998</v>
      </c>
    </row>
    <row r="16" spans="1:12" ht="16.899999999999999" customHeight="1">
      <c r="A16" s="23" t="s">
        <v>35</v>
      </c>
      <c r="B16" s="24" t="s">
        <v>36</v>
      </c>
      <c r="C16" s="41"/>
      <c r="D16" s="42"/>
      <c r="E16" s="42"/>
      <c r="F16" s="42"/>
      <c r="G16" s="194"/>
      <c r="H16" s="134">
        <v>6301</v>
      </c>
      <c r="I16" s="123" t="s">
        <v>261</v>
      </c>
      <c r="J16" s="118">
        <f>(J4+J5+J8+J13+J14)*17.5%</f>
        <v>462413952</v>
      </c>
    </row>
    <row r="17" spans="1:11" ht="16.899999999999999" customHeight="1">
      <c r="A17" s="23" t="s">
        <v>37</v>
      </c>
      <c r="B17" s="24" t="s">
        <v>57</v>
      </c>
      <c r="C17" s="41"/>
      <c r="D17" s="42"/>
      <c r="E17" s="42"/>
      <c r="F17" s="42"/>
      <c r="G17" s="194"/>
      <c r="H17" s="134">
        <v>6302</v>
      </c>
      <c r="I17" s="123" t="s">
        <v>260</v>
      </c>
      <c r="J17" s="118">
        <f>J16/17.5%*3%</f>
        <v>79270963.200000003</v>
      </c>
    </row>
    <row r="18" spans="1:11" ht="16.899999999999999" customHeight="1">
      <c r="A18" s="23" t="s">
        <v>39</v>
      </c>
      <c r="B18" s="24" t="s">
        <v>40</v>
      </c>
      <c r="C18" s="41"/>
      <c r="D18" s="42"/>
      <c r="E18" s="42"/>
      <c r="F18" s="42"/>
      <c r="G18" s="194"/>
      <c r="H18" s="134">
        <v>6303</v>
      </c>
      <c r="I18" s="123" t="s">
        <v>259</v>
      </c>
      <c r="J18" s="118">
        <f>J16/17.5%*2%</f>
        <v>52847308.800000004</v>
      </c>
    </row>
    <row r="19" spans="1:11" ht="16.899999999999999" customHeight="1">
      <c r="A19" s="23" t="s">
        <v>41</v>
      </c>
      <c r="B19" s="24" t="s">
        <v>13</v>
      </c>
      <c r="C19" s="41"/>
      <c r="D19" s="42"/>
      <c r="E19" s="42"/>
      <c r="F19" s="42"/>
      <c r="G19" s="194"/>
      <c r="H19" s="134">
        <v>6349</v>
      </c>
      <c r="I19" s="123" t="s">
        <v>258</v>
      </c>
      <c r="J19" s="118">
        <f>J18/2</f>
        <v>26423654.400000002</v>
      </c>
    </row>
    <row r="20" spans="1:11" ht="16.899999999999999" customHeight="1">
      <c r="A20" s="23" t="s">
        <v>37</v>
      </c>
      <c r="B20" s="35" t="s">
        <v>42</v>
      </c>
      <c r="C20" s="41"/>
      <c r="D20" s="42"/>
      <c r="E20" s="42"/>
      <c r="F20" s="42"/>
      <c r="G20" s="194"/>
      <c r="H20" s="134"/>
      <c r="I20" s="123"/>
      <c r="J20" s="118"/>
    </row>
    <row r="21" spans="1:11" ht="16.899999999999999" customHeight="1">
      <c r="A21" s="23" t="s">
        <v>39</v>
      </c>
      <c r="B21" s="24" t="s">
        <v>43</v>
      </c>
      <c r="C21" s="41"/>
      <c r="D21" s="42"/>
      <c r="E21" s="42"/>
      <c r="F21" s="42"/>
      <c r="G21" s="194"/>
      <c r="H21" s="134"/>
      <c r="I21" s="123"/>
      <c r="J21" s="118"/>
    </row>
    <row r="22" spans="1:11" ht="16.899999999999999" customHeight="1">
      <c r="A22" s="34">
        <v>3</v>
      </c>
      <c r="B22" s="24" t="s">
        <v>44</v>
      </c>
      <c r="C22" s="41"/>
      <c r="D22" s="42"/>
      <c r="E22" s="42"/>
      <c r="F22" s="42"/>
      <c r="G22" s="194"/>
      <c r="H22" s="134"/>
      <c r="I22" s="123"/>
      <c r="J22" s="118"/>
    </row>
    <row r="23" spans="1:11" ht="16.899999999999999" customHeight="1">
      <c r="A23" s="23" t="s">
        <v>45</v>
      </c>
      <c r="B23" s="24" t="s">
        <v>31</v>
      </c>
      <c r="C23" s="42"/>
      <c r="D23" s="42"/>
      <c r="E23" s="42"/>
      <c r="F23" s="42"/>
      <c r="G23" s="194"/>
      <c r="H23" s="134"/>
      <c r="I23" s="123"/>
      <c r="J23" s="118"/>
    </row>
    <row r="24" spans="1:11" ht="16.899999999999999" customHeight="1">
      <c r="A24" s="23" t="s">
        <v>46</v>
      </c>
      <c r="B24" s="24" t="s">
        <v>33</v>
      </c>
      <c r="C24" s="41"/>
      <c r="D24" s="42"/>
      <c r="E24" s="42"/>
      <c r="F24" s="42"/>
      <c r="G24" s="194"/>
      <c r="H24" s="134"/>
      <c r="I24" s="123"/>
      <c r="J24" s="118"/>
    </row>
    <row r="25" spans="1:11" s="30" customFormat="1" ht="16.899999999999999" customHeight="1">
      <c r="A25" s="37" t="s">
        <v>5</v>
      </c>
      <c r="B25" s="22" t="s">
        <v>47</v>
      </c>
      <c r="C25" s="43"/>
      <c r="D25" s="44"/>
      <c r="E25" s="44"/>
      <c r="F25" s="44"/>
      <c r="G25" s="194"/>
      <c r="H25" s="134"/>
      <c r="I25" s="123"/>
      <c r="J25" s="118"/>
      <c r="K25" s="31"/>
    </row>
    <row r="26" spans="1:11" ht="16.899999999999999" customHeight="1">
      <c r="A26" s="34">
        <v>1</v>
      </c>
      <c r="B26" s="24" t="s">
        <v>13</v>
      </c>
      <c r="C26" s="41"/>
      <c r="D26" s="42"/>
      <c r="E26" s="42"/>
      <c r="F26" s="42"/>
      <c r="G26" s="194"/>
      <c r="H26" s="134"/>
      <c r="I26" s="123"/>
      <c r="J26" s="118"/>
    </row>
    <row r="27" spans="1:11" s="82" customFormat="1" ht="16.899999999999999" customHeight="1">
      <c r="A27" s="78" t="s">
        <v>30</v>
      </c>
      <c r="B27" s="79" t="s">
        <v>42</v>
      </c>
      <c r="C27" s="80">
        <f>C28+C45+C90</f>
        <v>4922010518.3999996</v>
      </c>
      <c r="D27" s="81">
        <f>'Bieu 4'!D30</f>
        <v>1033593475</v>
      </c>
      <c r="E27" s="217">
        <f>D27/C27*100%</f>
        <v>0.20999416216932237</v>
      </c>
      <c r="F27" s="81"/>
      <c r="G27" s="194"/>
      <c r="H27" s="134"/>
      <c r="I27" s="123"/>
      <c r="J27" s="118"/>
      <c r="K27" s="31"/>
    </row>
    <row r="28" spans="1:11" ht="16.899999999999999" customHeight="1">
      <c r="A28" s="50"/>
      <c r="B28" s="57" t="s">
        <v>101</v>
      </c>
      <c r="C28" s="58">
        <f>C29+C33+C40+C32</f>
        <v>3848810518.4000001</v>
      </c>
      <c r="D28" s="42"/>
      <c r="E28" s="45"/>
      <c r="F28" s="42"/>
      <c r="G28" s="194"/>
      <c r="H28" s="134"/>
      <c r="I28" s="123"/>
      <c r="J28" s="118"/>
    </row>
    <row r="29" spans="1:11" s="56" customFormat="1" ht="16.899999999999999" customHeight="1">
      <c r="A29" s="74">
        <v>6000</v>
      </c>
      <c r="B29" s="60" t="s">
        <v>100</v>
      </c>
      <c r="C29" s="61">
        <f>C30+C31</f>
        <v>2299128000</v>
      </c>
      <c r="D29" s="54"/>
      <c r="E29" s="93"/>
      <c r="F29" s="54"/>
      <c r="G29" s="194"/>
      <c r="H29" s="134"/>
      <c r="I29" s="123"/>
      <c r="J29" s="118"/>
      <c r="K29" s="31"/>
    </row>
    <row r="30" spans="1:11" ht="16.899999999999999" customHeight="1">
      <c r="A30" s="62">
        <v>6001</v>
      </c>
      <c r="B30" s="51" t="s">
        <v>102</v>
      </c>
      <c r="C30" s="48">
        <f>J4</f>
        <v>1408836000</v>
      </c>
      <c r="D30" s="42"/>
      <c r="E30" s="45"/>
      <c r="F30" s="42"/>
      <c r="G30" s="194"/>
      <c r="H30" s="134"/>
      <c r="I30" s="123"/>
      <c r="J30" s="118"/>
    </row>
    <row r="31" spans="1:11" ht="16.899999999999999" customHeight="1">
      <c r="A31" s="63">
        <v>6003</v>
      </c>
      <c r="B31" s="51" t="s">
        <v>103</v>
      </c>
      <c r="C31" s="48">
        <f>J5</f>
        <v>890292000</v>
      </c>
      <c r="D31" s="42"/>
      <c r="E31" s="45"/>
      <c r="F31" s="42"/>
      <c r="G31" s="194"/>
      <c r="H31" s="134"/>
      <c r="I31" s="123"/>
      <c r="J31" s="118"/>
    </row>
    <row r="32" spans="1:11" ht="16.899999999999999" customHeight="1">
      <c r="A32" s="52"/>
      <c r="B32" s="51" t="s">
        <v>104</v>
      </c>
      <c r="C32" s="77">
        <f>J6</f>
        <v>70580000</v>
      </c>
      <c r="D32" s="42"/>
      <c r="E32" s="45"/>
      <c r="F32" s="42"/>
      <c r="G32" s="194"/>
      <c r="H32" s="134"/>
      <c r="I32" s="123"/>
      <c r="J32" s="118"/>
    </row>
    <row r="33" spans="1:12" s="56" customFormat="1" ht="16.899999999999999" customHeight="1">
      <c r="A33" s="75">
        <v>6100</v>
      </c>
      <c r="B33" s="64" t="s">
        <v>99</v>
      </c>
      <c r="C33" s="61">
        <f>SUM(C34:C39)</f>
        <v>858146640</v>
      </c>
      <c r="D33" s="54"/>
      <c r="E33" s="93"/>
      <c r="F33" s="54"/>
      <c r="G33" s="194"/>
      <c r="H33" s="134"/>
      <c r="I33" s="123"/>
      <c r="J33" s="118"/>
      <c r="K33" s="31"/>
    </row>
    <row r="34" spans="1:12" ht="16.899999999999999" customHeight="1">
      <c r="A34" s="62">
        <v>6101</v>
      </c>
      <c r="B34" s="51" t="s">
        <v>105</v>
      </c>
      <c r="C34" s="49">
        <f>J8</f>
        <v>46020000</v>
      </c>
      <c r="D34" s="42"/>
      <c r="E34" s="45"/>
      <c r="F34" s="42"/>
      <c r="G34" s="194"/>
      <c r="H34" s="134"/>
      <c r="I34" s="123"/>
      <c r="J34" s="118"/>
    </row>
    <row r="35" spans="1:12" ht="16.899999999999999" customHeight="1">
      <c r="A35" s="62">
        <v>6107</v>
      </c>
      <c r="B35" s="51" t="s">
        <v>106</v>
      </c>
      <c r="C35" s="49">
        <f>J9</f>
        <v>6240000</v>
      </c>
      <c r="D35" s="42"/>
      <c r="E35" s="45"/>
      <c r="F35" s="42"/>
      <c r="G35" s="194"/>
      <c r="H35" s="134"/>
      <c r="I35" s="123"/>
      <c r="J35" s="118"/>
    </row>
    <row r="36" spans="1:12" ht="16.899999999999999" customHeight="1">
      <c r="A36" s="63">
        <v>6112</v>
      </c>
      <c r="B36" s="51" t="s">
        <v>107</v>
      </c>
      <c r="C36" s="48">
        <f>J10</f>
        <v>502429200</v>
      </c>
      <c r="D36" s="42"/>
      <c r="E36" s="45"/>
      <c r="F36" s="42"/>
      <c r="G36" s="194"/>
      <c r="H36" s="134"/>
      <c r="I36" s="123"/>
      <c r="J36" s="118"/>
    </row>
    <row r="37" spans="1:12" ht="16.899999999999999" customHeight="1">
      <c r="A37" s="63">
        <v>6113</v>
      </c>
      <c r="B37" s="51" t="s">
        <v>108</v>
      </c>
      <c r="C37" s="49">
        <f>J11+J12</f>
        <v>6240000</v>
      </c>
      <c r="D37" s="42"/>
      <c r="E37" s="45"/>
      <c r="F37" s="42"/>
      <c r="G37" s="194"/>
      <c r="H37" s="134"/>
      <c r="I37" s="123"/>
      <c r="J37" s="118"/>
    </row>
    <row r="38" spans="1:12" ht="16.899999999999999" customHeight="1">
      <c r="A38" s="63">
        <v>6115</v>
      </c>
      <c r="B38" s="51" t="s">
        <v>109</v>
      </c>
      <c r="C38" s="49">
        <f>J13</f>
        <v>291002400</v>
      </c>
      <c r="D38" s="42"/>
      <c r="E38" s="45"/>
      <c r="F38" s="42"/>
      <c r="G38" s="194"/>
      <c r="H38" s="134"/>
      <c r="I38" s="123"/>
      <c r="J38" s="118"/>
    </row>
    <row r="39" spans="1:12" ht="16.899999999999999" customHeight="1">
      <c r="A39" s="62">
        <v>6117</v>
      </c>
      <c r="B39" s="51" t="s">
        <v>93</v>
      </c>
      <c r="C39" s="49">
        <f>J14</f>
        <v>6215039.9999999991</v>
      </c>
      <c r="D39" s="42"/>
      <c r="E39" s="45"/>
      <c r="F39" s="42"/>
      <c r="G39" s="194">
        <v>6400</v>
      </c>
      <c r="H39" s="134"/>
      <c r="I39" s="124" t="s">
        <v>257</v>
      </c>
      <c r="J39" s="170">
        <f>SUM(J40:J42)</f>
        <v>291690000</v>
      </c>
      <c r="L39" s="212"/>
    </row>
    <row r="40" spans="1:12" s="56" customFormat="1" ht="16.899999999999999" customHeight="1">
      <c r="A40" s="75">
        <v>6300</v>
      </c>
      <c r="B40" s="64" t="s">
        <v>97</v>
      </c>
      <c r="C40" s="61">
        <f>SUM(C41:C44)</f>
        <v>620955878.39999998</v>
      </c>
      <c r="D40" s="54"/>
      <c r="E40" s="93"/>
      <c r="F40" s="54"/>
      <c r="G40" s="194"/>
      <c r="H40" s="134">
        <v>6404</v>
      </c>
      <c r="I40" s="123" t="s">
        <v>256</v>
      </c>
      <c r="J40" s="118">
        <v>190800000</v>
      </c>
      <c r="K40" s="31"/>
    </row>
    <row r="41" spans="1:12" ht="16.899999999999999" customHeight="1">
      <c r="A41" s="62">
        <v>6301</v>
      </c>
      <c r="B41" s="51" t="s">
        <v>98</v>
      </c>
      <c r="C41" s="48">
        <f>J16</f>
        <v>462413952</v>
      </c>
      <c r="D41" s="42"/>
      <c r="E41" s="45"/>
      <c r="F41" s="42"/>
      <c r="G41" s="194"/>
      <c r="H41" s="134">
        <v>6449</v>
      </c>
      <c r="I41" s="123" t="s">
        <v>255</v>
      </c>
      <c r="J41" s="118">
        <v>10890000</v>
      </c>
    </row>
    <row r="42" spans="1:12" ht="16.899999999999999" customHeight="1">
      <c r="A42" s="62">
        <v>6302</v>
      </c>
      <c r="B42" s="51" t="s">
        <v>94</v>
      </c>
      <c r="C42" s="48">
        <f>J17</f>
        <v>79270963.200000003</v>
      </c>
      <c r="D42" s="42"/>
      <c r="E42" s="45"/>
      <c r="F42" s="42"/>
      <c r="G42" s="194"/>
      <c r="H42" s="134">
        <v>6449</v>
      </c>
      <c r="I42" s="123" t="s">
        <v>254</v>
      </c>
      <c r="J42" s="118">
        <v>90000000</v>
      </c>
    </row>
    <row r="43" spans="1:12" ht="16.899999999999999" customHeight="1">
      <c r="A43" s="62">
        <v>6303</v>
      </c>
      <c r="B43" s="51" t="s">
        <v>95</v>
      </c>
      <c r="C43" s="48">
        <f>J18</f>
        <v>52847308.800000004</v>
      </c>
      <c r="D43" s="42"/>
      <c r="E43" s="45"/>
      <c r="F43" s="42"/>
      <c r="G43" s="195" t="s">
        <v>5</v>
      </c>
      <c r="H43" s="169"/>
      <c r="I43" s="168" t="s">
        <v>220</v>
      </c>
      <c r="J43" s="154">
        <f>J44+J48+J58+J63+J68+J73+J79+J81+J39</f>
        <v>955744500</v>
      </c>
    </row>
    <row r="44" spans="1:12" ht="16.899999999999999" customHeight="1">
      <c r="A44" s="62">
        <v>6304</v>
      </c>
      <c r="B44" s="51" t="s">
        <v>96</v>
      </c>
      <c r="C44" s="48">
        <f>J19</f>
        <v>26423654.400000002</v>
      </c>
      <c r="D44" s="42"/>
      <c r="E44" s="45"/>
      <c r="F44" s="42"/>
      <c r="G44" s="196">
        <v>6500</v>
      </c>
      <c r="H44" s="150"/>
      <c r="I44" s="152" t="s">
        <v>253</v>
      </c>
      <c r="J44" s="160">
        <f t="shared" ref="J44" si="1">J45+J47+J46</f>
        <v>85200000</v>
      </c>
      <c r="K44" s="30"/>
    </row>
    <row r="45" spans="1:12" s="30" customFormat="1" ht="16.899999999999999" customHeight="1">
      <c r="A45" s="68"/>
      <c r="B45" s="53" t="s">
        <v>113</v>
      </c>
      <c r="C45" s="65">
        <f>C46+C50+C54+C57+C67+C73+C78+C85+C62+C96</f>
        <v>955744500</v>
      </c>
      <c r="D45" s="44"/>
      <c r="E45" s="94"/>
      <c r="F45" s="44"/>
      <c r="G45" s="197"/>
      <c r="H45" s="162">
        <v>6501</v>
      </c>
      <c r="I45" s="159" t="s">
        <v>252</v>
      </c>
      <c r="J45" s="157">
        <f>6500000*12</f>
        <v>78000000</v>
      </c>
      <c r="K45" s="31"/>
    </row>
    <row r="46" spans="1:12" s="56" customFormat="1" ht="16.899999999999999" customHeight="1">
      <c r="A46" s="73">
        <v>6400</v>
      </c>
      <c r="B46" s="71" t="s">
        <v>101</v>
      </c>
      <c r="C46" s="72">
        <f>C47+C48+C49</f>
        <v>201690000</v>
      </c>
      <c r="D46" s="54"/>
      <c r="E46" s="93"/>
      <c r="F46" s="54"/>
      <c r="G46" s="197"/>
      <c r="H46" s="162">
        <v>6503</v>
      </c>
      <c r="I46" s="121" t="s">
        <v>251</v>
      </c>
      <c r="J46" s="157">
        <f>400000*12</f>
        <v>4800000</v>
      </c>
      <c r="K46" s="82"/>
    </row>
    <row r="47" spans="1:12" ht="16.899999999999999" customHeight="1">
      <c r="A47" s="204">
        <v>6404</v>
      </c>
      <c r="B47" s="71" t="s">
        <v>282</v>
      </c>
      <c r="C47" s="72">
        <f>J40</f>
        <v>190800000</v>
      </c>
      <c r="D47" s="54"/>
      <c r="E47" s="93"/>
      <c r="F47" s="54"/>
      <c r="G47" s="197"/>
      <c r="H47" s="162">
        <v>6504</v>
      </c>
      <c r="I47" s="167" t="s">
        <v>250</v>
      </c>
      <c r="J47" s="157">
        <f>200000*12</f>
        <v>2400000</v>
      </c>
    </row>
    <row r="48" spans="1:12" ht="16.899999999999999" customHeight="1">
      <c r="A48" s="204">
        <v>6449</v>
      </c>
      <c r="B48" s="71" t="s">
        <v>64</v>
      </c>
      <c r="C48" s="72">
        <v>0</v>
      </c>
      <c r="D48" s="54"/>
      <c r="E48" s="93"/>
      <c r="F48" s="54"/>
      <c r="G48" s="196">
        <v>6550</v>
      </c>
      <c r="H48" s="149"/>
      <c r="I48" s="152" t="s">
        <v>118</v>
      </c>
      <c r="J48" s="160">
        <f>J49+J50+J51+J52+J53+J54+J55+J56+J57</f>
        <v>183900000</v>
      </c>
      <c r="K48" s="56"/>
    </row>
    <row r="49" spans="1:11" ht="16.899999999999999" customHeight="1">
      <c r="A49" s="66">
        <v>6449</v>
      </c>
      <c r="B49" s="51" t="s">
        <v>114</v>
      </c>
      <c r="C49" s="49">
        <f>J41</f>
        <v>10890000</v>
      </c>
      <c r="D49" s="42"/>
      <c r="E49" s="45"/>
      <c r="F49" s="42"/>
      <c r="G49" s="197"/>
      <c r="H49" s="162">
        <v>6551</v>
      </c>
      <c r="I49" s="159" t="s">
        <v>249</v>
      </c>
      <c r="J49" s="157">
        <f>3000000*12</f>
        <v>36000000</v>
      </c>
    </row>
    <row r="50" spans="1:11" ht="16.899999999999999" customHeight="1">
      <c r="A50" s="73">
        <v>6500</v>
      </c>
      <c r="B50" s="71" t="s">
        <v>115</v>
      </c>
      <c r="C50" s="72">
        <f>SUM(C51:C53)</f>
        <v>85200000</v>
      </c>
      <c r="D50" s="42"/>
      <c r="E50" s="45"/>
      <c r="F50" s="42"/>
      <c r="G50" s="197"/>
      <c r="H50" s="162">
        <v>6551</v>
      </c>
      <c r="I50" s="121" t="s">
        <v>248</v>
      </c>
      <c r="J50" s="166">
        <f>2*80000*45</f>
        <v>7200000</v>
      </c>
    </row>
    <row r="51" spans="1:11" s="56" customFormat="1" ht="16.899999999999999" customHeight="1">
      <c r="A51" s="63">
        <v>6501</v>
      </c>
      <c r="B51" s="51" t="s">
        <v>117</v>
      </c>
      <c r="C51" s="48">
        <f>J45</f>
        <v>78000000</v>
      </c>
      <c r="D51" s="42"/>
      <c r="E51" s="45"/>
      <c r="F51" s="42"/>
      <c r="G51" s="197"/>
      <c r="H51" s="162">
        <v>6551</v>
      </c>
      <c r="I51" s="121" t="s">
        <v>247</v>
      </c>
      <c r="J51" s="157">
        <f>170000*12</f>
        <v>2040000</v>
      </c>
      <c r="K51" s="31"/>
    </row>
    <row r="52" spans="1:11" ht="16.899999999999999" customHeight="1">
      <c r="A52" s="63">
        <v>6501</v>
      </c>
      <c r="B52" s="51" t="s">
        <v>283</v>
      </c>
      <c r="C52" s="48">
        <f>J46</f>
        <v>4800000</v>
      </c>
      <c r="D52" s="42"/>
      <c r="E52" s="45"/>
      <c r="F52" s="42"/>
      <c r="G52" s="197"/>
      <c r="H52" s="162">
        <v>6551</v>
      </c>
      <c r="I52" s="121" t="s">
        <v>246</v>
      </c>
      <c r="J52" s="158">
        <f>30000*12*46</f>
        <v>16560000</v>
      </c>
      <c r="K52" s="56"/>
    </row>
    <row r="53" spans="1:11" ht="16.899999999999999" customHeight="1">
      <c r="A53" s="62">
        <v>6504</v>
      </c>
      <c r="B53" s="51" t="s">
        <v>116</v>
      </c>
      <c r="C53" s="48">
        <f>J47</f>
        <v>2400000</v>
      </c>
      <c r="D53" s="42"/>
      <c r="E53" s="45"/>
      <c r="F53" s="42"/>
      <c r="G53" s="197"/>
      <c r="H53" s="162">
        <v>6552</v>
      </c>
      <c r="I53" s="121" t="s">
        <v>245</v>
      </c>
      <c r="J53" s="158">
        <f>1000000*45</f>
        <v>45000000</v>
      </c>
    </row>
    <row r="54" spans="1:11" s="56" customFormat="1" ht="16.899999999999999" customHeight="1">
      <c r="A54" s="75">
        <v>6550</v>
      </c>
      <c r="B54" s="64" t="s">
        <v>118</v>
      </c>
      <c r="C54" s="72">
        <f>SUM(C55:C56)</f>
        <v>183900000</v>
      </c>
      <c r="D54" s="54"/>
      <c r="E54" s="93"/>
      <c r="F54" s="54"/>
      <c r="G54" s="197"/>
      <c r="H54" s="162">
        <v>6599</v>
      </c>
      <c r="I54" s="121" t="s">
        <v>244</v>
      </c>
      <c r="J54" s="157">
        <f>850000*12*2</f>
        <v>20400000</v>
      </c>
      <c r="K54" s="31"/>
    </row>
    <row r="55" spans="1:11" ht="16.899999999999999" customHeight="1">
      <c r="A55" s="62">
        <v>6551</v>
      </c>
      <c r="B55" s="51" t="s">
        <v>119</v>
      </c>
      <c r="C55" s="48">
        <f>J49+J50+J51+J52+J53</f>
        <v>106800000</v>
      </c>
      <c r="D55" s="42"/>
      <c r="E55" s="45"/>
      <c r="F55" s="42"/>
      <c r="G55" s="197"/>
      <c r="H55" s="162">
        <v>6599</v>
      </c>
      <c r="I55" s="121" t="s">
        <v>243</v>
      </c>
      <c r="J55" s="157">
        <f>900000/3*45</f>
        <v>13500000</v>
      </c>
    </row>
    <row r="56" spans="1:11" ht="16.899999999999999" customHeight="1">
      <c r="A56" s="62">
        <v>6599</v>
      </c>
      <c r="B56" s="51" t="s">
        <v>120</v>
      </c>
      <c r="C56" s="48">
        <f>J54+J55+J56+J57</f>
        <v>77100000</v>
      </c>
      <c r="D56" s="42"/>
      <c r="E56" s="45"/>
      <c r="F56" s="42"/>
      <c r="G56" s="197"/>
      <c r="H56" s="162">
        <v>6599</v>
      </c>
      <c r="I56" s="121" t="s">
        <v>242</v>
      </c>
      <c r="J56" s="158">
        <f>50000*12*45</f>
        <v>27000000</v>
      </c>
    </row>
    <row r="57" spans="1:11" ht="16.899999999999999" customHeight="1">
      <c r="A57" s="73">
        <v>6600</v>
      </c>
      <c r="B57" s="64" t="s">
        <v>121</v>
      </c>
      <c r="C57" s="72">
        <f>SUM(C58:C61)</f>
        <v>19200000</v>
      </c>
      <c r="D57" s="54"/>
      <c r="E57" s="93"/>
      <c r="F57" s="54"/>
      <c r="G57" s="197"/>
      <c r="H57" s="162">
        <v>6599</v>
      </c>
      <c r="I57" s="121" t="s">
        <v>241</v>
      </c>
      <c r="J57" s="158">
        <f>30000*12*45</f>
        <v>16200000</v>
      </c>
    </row>
    <row r="58" spans="1:11" s="56" customFormat="1" ht="16.899999999999999" customHeight="1">
      <c r="A58" s="63">
        <v>6601</v>
      </c>
      <c r="B58" s="51" t="s">
        <v>122</v>
      </c>
      <c r="C58" s="48">
        <f>J59</f>
        <v>3600000</v>
      </c>
      <c r="D58" s="42"/>
      <c r="E58" s="45"/>
      <c r="F58" s="42"/>
      <c r="G58" s="197">
        <v>6600</v>
      </c>
      <c r="H58" s="153"/>
      <c r="I58" s="152" t="s">
        <v>121</v>
      </c>
      <c r="J58" s="160">
        <f t="shared" ref="J58" si="2">J59+J60+J61+J62</f>
        <v>19200000</v>
      </c>
      <c r="K58" s="31"/>
    </row>
    <row r="59" spans="1:11" ht="16.899999999999999" customHeight="1">
      <c r="A59" s="62">
        <v>6617</v>
      </c>
      <c r="B59" s="51" t="s">
        <v>123</v>
      </c>
      <c r="C59" s="48">
        <f>J60</f>
        <v>9600000</v>
      </c>
      <c r="D59" s="42"/>
      <c r="E59" s="45"/>
      <c r="F59" s="42"/>
      <c r="G59" s="197"/>
      <c r="H59" s="162">
        <v>6601</v>
      </c>
      <c r="I59" s="159" t="s">
        <v>240</v>
      </c>
      <c r="J59" s="157">
        <f>150000*2*12</f>
        <v>3600000</v>
      </c>
      <c r="K59" s="56"/>
    </row>
    <row r="60" spans="1:11" ht="16.899999999999999" customHeight="1">
      <c r="A60" s="62">
        <v>6612</v>
      </c>
      <c r="B60" s="51" t="s">
        <v>284</v>
      </c>
      <c r="C60" s="48">
        <f>J61</f>
        <v>1200000</v>
      </c>
      <c r="D60" s="42"/>
      <c r="E60" s="45"/>
      <c r="F60" s="42"/>
      <c r="G60" s="197"/>
      <c r="H60" s="162">
        <v>6615</v>
      </c>
      <c r="I60" s="159" t="s">
        <v>239</v>
      </c>
      <c r="J60" s="157">
        <f>800000*12</f>
        <v>9600000</v>
      </c>
    </row>
    <row r="61" spans="1:11" ht="16.899999999999999" customHeight="1">
      <c r="A61" s="62">
        <v>6618</v>
      </c>
      <c r="B61" s="51" t="s">
        <v>124</v>
      </c>
      <c r="C61" s="48">
        <f>J62</f>
        <v>4800000</v>
      </c>
      <c r="D61" s="42"/>
      <c r="E61" s="45"/>
      <c r="F61" s="42"/>
      <c r="G61" s="197"/>
      <c r="H61" s="153">
        <v>6612</v>
      </c>
      <c r="I61" s="159" t="s">
        <v>238</v>
      </c>
      <c r="J61" s="157">
        <f>300000*4</f>
        <v>1200000</v>
      </c>
    </row>
    <row r="62" spans="1:11" ht="16.899999999999999" customHeight="1">
      <c r="A62" s="205">
        <v>6650</v>
      </c>
      <c r="B62" s="206" t="s">
        <v>236</v>
      </c>
      <c r="C62" s="207">
        <f t="shared" ref="C62" si="3">C63+C64+C65+C66</f>
        <v>27600000</v>
      </c>
      <c r="D62" s="54"/>
      <c r="E62" s="93"/>
      <c r="F62" s="54"/>
      <c r="G62" s="197"/>
      <c r="H62" s="153">
        <v>6618</v>
      </c>
      <c r="I62" s="121" t="s">
        <v>237</v>
      </c>
      <c r="J62" s="157">
        <f>200000*2*12</f>
        <v>4800000</v>
      </c>
    </row>
    <row r="63" spans="1:11" ht="16.899999999999999" customHeight="1">
      <c r="A63" s="208">
        <v>6651</v>
      </c>
      <c r="B63" s="209" t="s">
        <v>288</v>
      </c>
      <c r="C63" s="210">
        <v>2000000</v>
      </c>
      <c r="D63" s="42"/>
      <c r="E63" s="45"/>
      <c r="F63" s="42"/>
      <c r="G63" s="197">
        <v>6650</v>
      </c>
      <c r="H63" s="153"/>
      <c r="I63" s="152" t="s">
        <v>236</v>
      </c>
      <c r="J63" s="160">
        <f t="shared" ref="J63" si="4">J64+J65+J66+J67</f>
        <v>27600000</v>
      </c>
    </row>
    <row r="64" spans="1:11" s="56" customFormat="1" ht="16.899999999999999" customHeight="1">
      <c r="A64" s="208">
        <v>6655</v>
      </c>
      <c r="B64" s="209" t="s">
        <v>287</v>
      </c>
      <c r="C64" s="210">
        <v>12000000</v>
      </c>
      <c r="D64" s="42"/>
      <c r="E64" s="45"/>
      <c r="F64" s="42"/>
      <c r="G64" s="197"/>
      <c r="H64" s="153">
        <v>6651</v>
      </c>
      <c r="I64" s="121" t="s">
        <v>235</v>
      </c>
      <c r="J64" s="158">
        <v>2000000</v>
      </c>
      <c r="K64" s="30"/>
    </row>
    <row r="65" spans="1:11" ht="16.899999999999999" customHeight="1">
      <c r="A65" s="208">
        <v>6699</v>
      </c>
      <c r="B65" s="209" t="s">
        <v>286</v>
      </c>
      <c r="C65" s="210">
        <f>(20000*4*45)+(45*50000*4)</f>
        <v>12600000</v>
      </c>
      <c r="D65" s="42"/>
      <c r="E65" s="45"/>
      <c r="F65" s="42"/>
      <c r="G65" s="197"/>
      <c r="H65" s="153">
        <v>6655</v>
      </c>
      <c r="I65" s="121" t="s">
        <v>234</v>
      </c>
      <c r="J65" s="158">
        <v>12000000</v>
      </c>
      <c r="K65" s="56"/>
    </row>
    <row r="66" spans="1:11" ht="16.899999999999999" customHeight="1">
      <c r="A66" s="208">
        <v>6699</v>
      </c>
      <c r="B66" s="209" t="s">
        <v>285</v>
      </c>
      <c r="C66" s="210">
        <f>250000*4</f>
        <v>1000000</v>
      </c>
      <c r="D66" s="42"/>
      <c r="E66" s="45"/>
      <c r="F66" s="42"/>
      <c r="G66" s="197"/>
      <c r="H66" s="153">
        <v>6699</v>
      </c>
      <c r="I66" s="121" t="s">
        <v>233</v>
      </c>
      <c r="J66" s="158">
        <f>(20000*4*45)+(45*50000*4)</f>
        <v>12600000</v>
      </c>
    </row>
    <row r="67" spans="1:11" ht="16.899999999999999" customHeight="1">
      <c r="A67" s="73">
        <v>6700</v>
      </c>
      <c r="B67" s="64" t="s">
        <v>125</v>
      </c>
      <c r="C67" s="213">
        <f>SUM(C68:C72)</f>
        <v>89100000</v>
      </c>
      <c r="D67" s="54"/>
      <c r="E67" s="93"/>
      <c r="F67" s="54"/>
      <c r="G67" s="197"/>
      <c r="H67" s="153">
        <v>6699</v>
      </c>
      <c r="I67" s="121" t="s">
        <v>232</v>
      </c>
      <c r="J67" s="158">
        <f>250000*4</f>
        <v>1000000</v>
      </c>
    </row>
    <row r="68" spans="1:11" ht="16.899999999999999" customHeight="1">
      <c r="A68" s="63">
        <v>6701</v>
      </c>
      <c r="B68" s="51" t="s">
        <v>126</v>
      </c>
      <c r="C68" s="48">
        <f>J69</f>
        <v>32400000</v>
      </c>
      <c r="D68" s="42"/>
      <c r="E68" s="45"/>
      <c r="F68" s="42"/>
      <c r="G68" s="196">
        <v>6700</v>
      </c>
      <c r="H68" s="150"/>
      <c r="I68" s="152" t="s">
        <v>125</v>
      </c>
      <c r="J68" s="160">
        <f>J69+J70+J71+J72</f>
        <v>89100000</v>
      </c>
    </row>
    <row r="69" spans="1:11" s="56" customFormat="1" ht="16.899999999999999" customHeight="1">
      <c r="A69" s="63">
        <v>6702</v>
      </c>
      <c r="B69" s="51" t="s">
        <v>127</v>
      </c>
      <c r="C69" s="48">
        <f>J70</f>
        <v>36000000</v>
      </c>
      <c r="D69" s="42"/>
      <c r="E69" s="45"/>
      <c r="F69" s="42"/>
      <c r="G69" s="197"/>
      <c r="H69" s="153">
        <v>6701</v>
      </c>
      <c r="I69" s="121" t="s">
        <v>231</v>
      </c>
      <c r="J69" s="157">
        <f>36000*20*45</f>
        <v>32400000</v>
      </c>
      <c r="K69" s="31"/>
    </row>
    <row r="70" spans="1:11" ht="16.899999999999999" customHeight="1">
      <c r="A70" s="63">
        <v>6703</v>
      </c>
      <c r="B70" s="51" t="s">
        <v>128</v>
      </c>
      <c r="C70" s="48">
        <f>J71</f>
        <v>13500000</v>
      </c>
      <c r="D70" s="42"/>
      <c r="E70" s="45"/>
      <c r="F70" s="42"/>
      <c r="G70" s="197"/>
      <c r="H70" s="153">
        <v>6702</v>
      </c>
      <c r="I70" s="121" t="s">
        <v>230</v>
      </c>
      <c r="J70" s="165">
        <f>(30000*10*45)+(50000*10*45)</f>
        <v>36000000</v>
      </c>
      <c r="K70" s="56"/>
    </row>
    <row r="71" spans="1:11" ht="16.899999999999999" customHeight="1">
      <c r="A71" s="63">
        <v>6704</v>
      </c>
      <c r="B71" s="51" t="s">
        <v>129</v>
      </c>
      <c r="C71" s="48">
        <f>J72</f>
        <v>7200000</v>
      </c>
      <c r="D71" s="42"/>
      <c r="E71" s="45"/>
      <c r="F71" s="42"/>
      <c r="G71" s="197"/>
      <c r="H71" s="153">
        <v>6703</v>
      </c>
      <c r="I71" s="121" t="s">
        <v>229</v>
      </c>
      <c r="J71" s="157">
        <f>300000*45</f>
        <v>13500000</v>
      </c>
    </row>
    <row r="72" spans="1:11" ht="16.899999999999999" customHeight="1">
      <c r="A72" s="63">
        <v>6749</v>
      </c>
      <c r="B72" s="51" t="s">
        <v>130</v>
      </c>
      <c r="C72" s="48">
        <v>0</v>
      </c>
      <c r="D72" s="42"/>
      <c r="E72" s="45"/>
      <c r="F72" s="42"/>
      <c r="G72" s="197"/>
      <c r="H72" s="153">
        <v>6704</v>
      </c>
      <c r="I72" s="164" t="s">
        <v>228</v>
      </c>
      <c r="J72" s="163">
        <f>2*300000*12</f>
        <v>7200000</v>
      </c>
    </row>
    <row r="73" spans="1:11" ht="16.899999999999999" customHeight="1">
      <c r="A73" s="73">
        <v>6750</v>
      </c>
      <c r="B73" s="64" t="s">
        <v>131</v>
      </c>
      <c r="C73" s="213">
        <f>SUM(C74:C77)</f>
        <v>107000000</v>
      </c>
      <c r="D73" s="54"/>
      <c r="E73" s="93"/>
      <c r="F73" s="54"/>
      <c r="G73" s="197">
        <v>6750</v>
      </c>
      <c r="H73" s="153"/>
      <c r="I73" s="152" t="s">
        <v>196</v>
      </c>
      <c r="J73" s="160">
        <f t="shared" ref="J73" si="5">J74+J75+J78+J76+J77</f>
        <v>107000000</v>
      </c>
      <c r="K73" s="56"/>
    </row>
    <row r="74" spans="1:11" ht="16.899999999999999" customHeight="1">
      <c r="A74" s="62">
        <v>6751</v>
      </c>
      <c r="B74" s="51" t="s">
        <v>132</v>
      </c>
      <c r="C74" s="48">
        <f>J74</f>
        <v>2000000</v>
      </c>
      <c r="D74" s="42"/>
      <c r="E74" s="45"/>
      <c r="F74" s="42"/>
      <c r="G74" s="197"/>
      <c r="H74" s="162">
        <v>6751</v>
      </c>
      <c r="I74" s="121" t="s">
        <v>227</v>
      </c>
      <c r="J74" s="157">
        <v>2000000</v>
      </c>
    </row>
    <row r="75" spans="1:11" ht="16.899999999999999" customHeight="1">
      <c r="A75" s="62">
        <v>6757</v>
      </c>
      <c r="B75" s="51" t="s">
        <v>133</v>
      </c>
      <c r="C75" s="48">
        <f>J77</f>
        <v>54000000</v>
      </c>
      <c r="D75" s="42"/>
      <c r="E75" s="45"/>
      <c r="F75" s="42"/>
      <c r="G75" s="197"/>
      <c r="H75" s="153">
        <v>6751</v>
      </c>
      <c r="I75" s="121" t="s">
        <v>226</v>
      </c>
      <c r="J75" s="161">
        <f>15000000+10000000</f>
        <v>25000000</v>
      </c>
    </row>
    <row r="76" spans="1:11" s="56" customFormat="1" ht="16.899999999999999" customHeight="1">
      <c r="A76" s="62">
        <v>6758</v>
      </c>
      <c r="B76" s="51" t="s">
        <v>134</v>
      </c>
      <c r="C76" s="48">
        <f>J76</f>
        <v>14000000</v>
      </c>
      <c r="D76" s="42"/>
      <c r="E76" s="45"/>
      <c r="F76" s="42"/>
      <c r="G76" s="197"/>
      <c r="H76" s="153">
        <v>6799</v>
      </c>
      <c r="I76" s="121" t="s">
        <v>225</v>
      </c>
      <c r="J76" s="157">
        <f>80000000-54000000-12000000</f>
        <v>14000000</v>
      </c>
      <c r="K76" s="31"/>
    </row>
    <row r="77" spans="1:11" ht="16.899999999999999" customHeight="1">
      <c r="A77" s="62">
        <v>6799</v>
      </c>
      <c r="B77" s="51" t="s">
        <v>130</v>
      </c>
      <c r="C77" s="48">
        <f>J78+J75</f>
        <v>37000000</v>
      </c>
      <c r="D77" s="42"/>
      <c r="E77" s="45"/>
      <c r="F77" s="42"/>
      <c r="G77" s="197"/>
      <c r="H77" s="153">
        <v>6799</v>
      </c>
      <c r="I77" s="121" t="s">
        <v>224</v>
      </c>
      <c r="J77" s="157">
        <f>3000000*2*9</f>
        <v>54000000</v>
      </c>
      <c r="K77" s="56"/>
    </row>
    <row r="78" spans="1:11" ht="16.899999999999999" customHeight="1">
      <c r="A78" s="73">
        <v>6900</v>
      </c>
      <c r="B78" s="64" t="s">
        <v>135</v>
      </c>
      <c r="C78" s="213">
        <f>SUM(C79:C84)</f>
        <v>70000000</v>
      </c>
      <c r="D78" s="54"/>
      <c r="E78" s="93"/>
      <c r="F78" s="54"/>
      <c r="G78" s="197"/>
      <c r="H78" s="153">
        <v>6799</v>
      </c>
      <c r="I78" s="121" t="s">
        <v>223</v>
      </c>
      <c r="J78" s="157">
        <v>12000000</v>
      </c>
    </row>
    <row r="79" spans="1:11" ht="16.899999999999999" customHeight="1">
      <c r="A79" s="63">
        <v>6906</v>
      </c>
      <c r="B79" s="51" t="s">
        <v>136</v>
      </c>
      <c r="C79" s="48">
        <v>20000000</v>
      </c>
      <c r="D79" s="42"/>
      <c r="E79" s="45"/>
      <c r="F79" s="42"/>
      <c r="G79" s="197">
        <v>6900</v>
      </c>
      <c r="H79" s="153"/>
      <c r="I79" s="152" t="s">
        <v>222</v>
      </c>
      <c r="J79" s="160">
        <f t="shared" ref="J79" si="6">J80</f>
        <v>70000000</v>
      </c>
    </row>
    <row r="80" spans="1:11" ht="16.899999999999999" customHeight="1">
      <c r="A80" s="62">
        <v>6908</v>
      </c>
      <c r="B80" s="51" t="s">
        <v>137</v>
      </c>
      <c r="C80" s="48">
        <v>5000000</v>
      </c>
      <c r="D80" s="42"/>
      <c r="E80" s="45"/>
      <c r="F80" s="42"/>
      <c r="G80" s="197"/>
      <c r="H80" s="153">
        <v>6949</v>
      </c>
      <c r="I80" s="121" t="s">
        <v>221</v>
      </c>
      <c r="J80" s="157">
        <v>70000000</v>
      </c>
    </row>
    <row r="81" spans="1:11" s="56" customFormat="1" ht="16.899999999999999" customHeight="1">
      <c r="A81" s="63">
        <v>6912</v>
      </c>
      <c r="B81" s="51" t="s">
        <v>138</v>
      </c>
      <c r="C81" s="48">
        <v>20000000</v>
      </c>
      <c r="D81" s="42"/>
      <c r="E81" s="45"/>
      <c r="F81" s="42"/>
      <c r="G81" s="197">
        <v>7000</v>
      </c>
      <c r="H81" s="153"/>
      <c r="I81" s="152" t="s">
        <v>220</v>
      </c>
      <c r="J81" s="160">
        <f t="shared" ref="J81" si="7">J82+J83+J84+J85+J86+J87+J88</f>
        <v>82054500</v>
      </c>
      <c r="K81" s="31"/>
    </row>
    <row r="82" spans="1:11" ht="16.899999999999999" customHeight="1">
      <c r="A82" s="62">
        <v>6913</v>
      </c>
      <c r="B82" s="51" t="s">
        <v>139</v>
      </c>
      <c r="C82" s="48">
        <v>5000000</v>
      </c>
      <c r="D82" s="42"/>
      <c r="E82" s="45"/>
      <c r="F82" s="42"/>
      <c r="G82" s="197"/>
      <c r="H82" s="153">
        <v>7001</v>
      </c>
      <c r="I82" s="159" t="s">
        <v>219</v>
      </c>
      <c r="J82" s="157">
        <f>40*200000</f>
        <v>8000000</v>
      </c>
    </row>
    <row r="83" spans="1:11" ht="16.899999999999999" customHeight="1">
      <c r="A83" s="62">
        <v>6921</v>
      </c>
      <c r="B83" s="51" t="s">
        <v>140</v>
      </c>
      <c r="C83" s="48">
        <v>10000000</v>
      </c>
      <c r="D83" s="42"/>
      <c r="E83" s="45"/>
      <c r="F83" s="42"/>
      <c r="G83" s="198"/>
      <c r="H83" s="148">
        <v>7002</v>
      </c>
      <c r="I83" s="121" t="s">
        <v>218</v>
      </c>
      <c r="J83" s="158">
        <f>300000*45</f>
        <v>13500000</v>
      </c>
      <c r="K83" s="56"/>
    </row>
    <row r="84" spans="1:11" ht="16.899999999999999" customHeight="1">
      <c r="A84" s="62">
        <v>6949</v>
      </c>
      <c r="B84" s="51" t="s">
        <v>141</v>
      </c>
      <c r="C84" s="48">
        <v>10000000</v>
      </c>
      <c r="D84" s="42"/>
      <c r="E84" s="45"/>
      <c r="F84" s="42"/>
      <c r="G84" s="198"/>
      <c r="H84" s="148">
        <v>7003</v>
      </c>
      <c r="I84" s="121" t="s">
        <v>217</v>
      </c>
      <c r="J84" s="158">
        <f>200000*45</f>
        <v>9000000</v>
      </c>
    </row>
    <row r="85" spans="1:11" ht="16.899999999999999" customHeight="1">
      <c r="A85" s="74">
        <v>6900</v>
      </c>
      <c r="B85" s="60" t="s">
        <v>110</v>
      </c>
      <c r="C85" s="61">
        <f>SUM(C86:C89)</f>
        <v>82054500</v>
      </c>
      <c r="D85" s="54"/>
      <c r="E85" s="93"/>
      <c r="F85" s="54"/>
      <c r="G85" s="198"/>
      <c r="H85" s="148">
        <v>7004</v>
      </c>
      <c r="I85" s="121" t="s">
        <v>216</v>
      </c>
      <c r="J85" s="158">
        <f>2520000+200000</f>
        <v>2720000</v>
      </c>
    </row>
    <row r="86" spans="1:11" ht="16.899999999999999" customHeight="1">
      <c r="A86" s="67">
        <v>7001</v>
      </c>
      <c r="B86" s="59" t="s">
        <v>142</v>
      </c>
      <c r="C86" s="49">
        <f>J82+J83+J84</f>
        <v>30500000</v>
      </c>
      <c r="D86" s="42"/>
      <c r="E86" s="45"/>
      <c r="F86" s="42"/>
      <c r="G86" s="198"/>
      <c r="H86" s="148">
        <v>7049</v>
      </c>
      <c r="I86" s="121" t="s">
        <v>215</v>
      </c>
      <c r="J86" s="158">
        <f>1875000+1250000</f>
        <v>3125000</v>
      </c>
    </row>
    <row r="87" spans="1:11" ht="16.899999999999999" customHeight="1">
      <c r="A87" s="67">
        <v>7003</v>
      </c>
      <c r="B87" s="59" t="s">
        <v>143</v>
      </c>
      <c r="C87" s="49">
        <v>0</v>
      </c>
      <c r="D87" s="42"/>
      <c r="E87" s="45"/>
      <c r="F87" s="42"/>
      <c r="G87" s="198"/>
      <c r="H87" s="148">
        <v>7049</v>
      </c>
      <c r="I87" s="121" t="s">
        <v>214</v>
      </c>
      <c r="J87" s="158">
        <v>35000000</v>
      </c>
    </row>
    <row r="88" spans="1:11" s="113" customFormat="1" ht="31.5" customHeight="1">
      <c r="A88" s="67">
        <v>7004</v>
      </c>
      <c r="B88" s="59" t="s">
        <v>144</v>
      </c>
      <c r="C88" s="49">
        <f>J85</f>
        <v>2720000</v>
      </c>
      <c r="D88" s="42"/>
      <c r="E88" s="45"/>
      <c r="F88" s="42"/>
      <c r="G88" s="198"/>
      <c r="H88" s="148">
        <v>7049</v>
      </c>
      <c r="I88" s="147" t="s">
        <v>213</v>
      </c>
      <c r="J88" s="157">
        <f>38864500-155000-4800000+1800000-25000000</f>
        <v>10709500</v>
      </c>
      <c r="K88" s="56"/>
    </row>
    <row r="89" spans="1:11" s="18" customFormat="1" ht="16.899999999999999" customHeight="1">
      <c r="A89" s="66">
        <v>7049</v>
      </c>
      <c r="B89" s="59" t="s">
        <v>111</v>
      </c>
      <c r="C89" s="49">
        <f>J88+J87+J86</f>
        <v>48834500</v>
      </c>
      <c r="D89" s="42"/>
      <c r="E89" s="45"/>
      <c r="F89" s="42"/>
      <c r="G89" s="195" t="s">
        <v>81</v>
      </c>
      <c r="H89" s="156"/>
      <c r="I89" s="155" t="s">
        <v>61</v>
      </c>
      <c r="J89" s="154">
        <f t="shared" ref="J89" si="8">J90</f>
        <v>117455500</v>
      </c>
      <c r="K89" s="31"/>
    </row>
    <row r="90" spans="1:11" s="55" customFormat="1" ht="16.899999999999999" customHeight="1">
      <c r="A90" s="76">
        <v>7750</v>
      </c>
      <c r="B90" s="60" t="s">
        <v>61</v>
      </c>
      <c r="C90" s="214">
        <f>SUM(C91:C95)</f>
        <v>117455500</v>
      </c>
      <c r="D90" s="54"/>
      <c r="E90" s="93"/>
      <c r="F90" s="54"/>
      <c r="G90" s="197">
        <v>7750</v>
      </c>
      <c r="H90" s="153"/>
      <c r="I90" s="152" t="s">
        <v>61</v>
      </c>
      <c r="J90" s="151">
        <f>SUM(J91:J99)</f>
        <v>117455500</v>
      </c>
      <c r="K90" s="31"/>
    </row>
    <row r="91" spans="1:11" s="19" customFormat="1" ht="16.899999999999999" customHeight="1">
      <c r="A91" s="66">
        <v>7764</v>
      </c>
      <c r="B91" s="51" t="s">
        <v>145</v>
      </c>
      <c r="C91" s="49">
        <f>J92+J91</f>
        <v>28675000</v>
      </c>
      <c r="D91" s="42"/>
      <c r="E91" s="45"/>
      <c r="F91" s="42"/>
      <c r="G91" s="194"/>
      <c r="H91" s="149">
        <v>7764</v>
      </c>
      <c r="I91" s="123" t="s">
        <v>212</v>
      </c>
      <c r="J91" s="211">
        <v>4800000</v>
      </c>
      <c r="K91" s="31"/>
    </row>
    <row r="92" spans="1:11" s="55" customFormat="1" ht="16.899999999999999" customHeight="1">
      <c r="A92" s="66">
        <v>7761</v>
      </c>
      <c r="B92" s="59" t="s">
        <v>146</v>
      </c>
      <c r="C92" s="49">
        <f>J94+J95+J96</f>
        <v>24780500</v>
      </c>
      <c r="D92" s="42"/>
      <c r="E92" s="45"/>
      <c r="F92" s="42"/>
      <c r="G92" s="196"/>
      <c r="H92" s="149">
        <v>7764</v>
      </c>
      <c r="I92" s="123" t="s">
        <v>211</v>
      </c>
      <c r="J92" s="211">
        <v>23875000</v>
      </c>
      <c r="K92" s="31"/>
    </row>
    <row r="93" spans="1:11" s="19" customFormat="1" ht="16.899999999999999" customHeight="1">
      <c r="A93" s="66">
        <v>7799</v>
      </c>
      <c r="B93" s="59" t="s">
        <v>147</v>
      </c>
      <c r="C93" s="49">
        <f>J98</f>
        <v>30000000</v>
      </c>
      <c r="D93" s="42"/>
      <c r="E93" s="45"/>
      <c r="F93" s="42"/>
      <c r="G93" s="198"/>
      <c r="H93" s="148">
        <v>7758</v>
      </c>
      <c r="I93" s="147" t="s">
        <v>210</v>
      </c>
      <c r="J93" s="146">
        <v>0</v>
      </c>
      <c r="K93" s="31"/>
    </row>
    <row r="94" spans="1:11" s="19" customFormat="1" ht="16.899999999999999" customHeight="1">
      <c r="A94" s="66">
        <v>7799</v>
      </c>
      <c r="B94" s="59" t="s">
        <v>112</v>
      </c>
      <c r="C94" s="49">
        <f>J97+J99-600000</f>
        <v>33400000</v>
      </c>
      <c r="D94" s="42"/>
      <c r="E94" s="45"/>
      <c r="F94" s="42"/>
      <c r="G94" s="198"/>
      <c r="H94" s="148">
        <v>7761</v>
      </c>
      <c r="I94" s="121" t="s">
        <v>209</v>
      </c>
      <c r="J94" s="211">
        <v>3180500</v>
      </c>
      <c r="K94" s="31"/>
    </row>
    <row r="95" spans="1:11" s="19" customFormat="1" ht="16.899999999999999" customHeight="1">
      <c r="A95" s="66">
        <v>7899</v>
      </c>
      <c r="B95" s="59" t="s">
        <v>148</v>
      </c>
      <c r="C95" s="49">
        <v>600000</v>
      </c>
      <c r="D95" s="42"/>
      <c r="E95" s="45"/>
      <c r="F95" s="42"/>
      <c r="G95" s="198"/>
      <c r="H95" s="148">
        <v>7761</v>
      </c>
      <c r="I95" s="121" t="s">
        <v>208</v>
      </c>
      <c r="J95" s="211">
        <f>10000*12*45</f>
        <v>5400000</v>
      </c>
      <c r="K95" s="56"/>
    </row>
    <row r="96" spans="1:11" s="19" customFormat="1" ht="16.899999999999999" customHeight="1">
      <c r="A96" s="34"/>
      <c r="B96" s="22" t="s">
        <v>64</v>
      </c>
      <c r="C96" s="26">
        <v>90000000</v>
      </c>
      <c r="D96" s="42"/>
      <c r="E96" s="45"/>
      <c r="F96" s="42"/>
      <c r="G96" s="198"/>
      <c r="H96" s="148">
        <v>7761</v>
      </c>
      <c r="I96" s="121" t="s">
        <v>207</v>
      </c>
      <c r="J96" s="211">
        <f>150000*12*9</f>
        <v>16200000</v>
      </c>
      <c r="K96" s="31"/>
    </row>
    <row r="97" spans="1:11" s="92" customFormat="1" ht="31.5">
      <c r="A97" s="110" t="s">
        <v>32</v>
      </c>
      <c r="B97" s="111" t="s">
        <v>43</v>
      </c>
      <c r="C97" s="112">
        <f>C98+C113+C120+C125</f>
        <v>1492205600</v>
      </c>
      <c r="D97" s="81">
        <f>'Bieu 4'!D90</f>
        <v>304551600</v>
      </c>
      <c r="E97" s="217">
        <f>D97/C97*100%</f>
        <v>0.20409493169037832</v>
      </c>
      <c r="F97" s="81"/>
      <c r="G97" s="198"/>
      <c r="H97" s="148">
        <v>7799</v>
      </c>
      <c r="I97" s="121" t="s">
        <v>206</v>
      </c>
      <c r="J97" s="146">
        <f>40000*12</f>
        <v>480000</v>
      </c>
      <c r="K97" s="31"/>
    </row>
    <row r="98" spans="1:11" s="19" customFormat="1" ht="16.899999999999999" customHeight="1">
      <c r="A98" s="37"/>
      <c r="B98" s="22" t="s">
        <v>62</v>
      </c>
      <c r="C98" s="26">
        <f>C99+C101</f>
        <v>904275600</v>
      </c>
      <c r="D98" s="44"/>
      <c r="E98" s="94"/>
      <c r="F98" s="44"/>
      <c r="G98" s="198"/>
      <c r="H98" s="148">
        <v>7799</v>
      </c>
      <c r="I98" s="147" t="s">
        <v>205</v>
      </c>
      <c r="J98" s="211">
        <v>30000000</v>
      </c>
      <c r="K98" s="31"/>
    </row>
    <row r="99" spans="1:11" s="19" customFormat="1" ht="16.899999999999999" customHeight="1">
      <c r="A99" s="85">
        <v>6100</v>
      </c>
      <c r="B99" s="88" t="s">
        <v>99</v>
      </c>
      <c r="C99" s="61">
        <f>C100</f>
        <v>70000000</v>
      </c>
      <c r="D99" s="54"/>
      <c r="E99" s="93"/>
      <c r="F99" s="54"/>
      <c r="G99" s="198"/>
      <c r="H99" s="148">
        <v>7799</v>
      </c>
      <c r="I99" s="147" t="s">
        <v>204</v>
      </c>
      <c r="J99" s="146">
        <f>21120000+12400000</f>
        <v>33520000</v>
      </c>
      <c r="K99" s="31"/>
    </row>
    <row r="100" spans="1:11" s="19" customFormat="1" ht="16.899999999999999" customHeight="1">
      <c r="A100" s="83">
        <v>6105</v>
      </c>
      <c r="B100" s="88" t="s">
        <v>165</v>
      </c>
      <c r="C100" s="49">
        <f>J102</f>
        <v>70000000</v>
      </c>
      <c r="D100" s="42"/>
      <c r="E100" s="45"/>
      <c r="F100" s="42"/>
      <c r="G100" s="261" t="s">
        <v>203</v>
      </c>
      <c r="H100" s="262"/>
      <c r="I100" s="263"/>
      <c r="J100" s="145">
        <f t="shared" ref="J100" si="9">J101+J103+J115+J118+J122+J124+J129</f>
        <v>1492205600</v>
      </c>
      <c r="K100" s="56"/>
    </row>
    <row r="101" spans="1:11" s="19" customFormat="1" ht="16.899999999999999" customHeight="1">
      <c r="A101" s="85">
        <v>6400</v>
      </c>
      <c r="B101" s="88" t="s">
        <v>101</v>
      </c>
      <c r="C101" s="61">
        <f>SUM(C102:C112)</f>
        <v>834275600</v>
      </c>
      <c r="D101" s="54"/>
      <c r="E101" s="93"/>
      <c r="F101" s="54"/>
      <c r="G101" s="194">
        <v>6100</v>
      </c>
      <c r="H101" s="144"/>
      <c r="I101" s="124" t="s">
        <v>99</v>
      </c>
      <c r="J101" s="143">
        <f t="shared" ref="J101" si="10">J102</f>
        <v>70000000</v>
      </c>
      <c r="K101" s="31"/>
    </row>
    <row r="102" spans="1:11" s="19" customFormat="1" ht="16.899999999999999" customHeight="1">
      <c r="A102" s="84">
        <v>6406</v>
      </c>
      <c r="B102" s="88" t="s">
        <v>166</v>
      </c>
      <c r="C102" s="49">
        <f>J104</f>
        <v>7110000</v>
      </c>
      <c r="D102" s="42"/>
      <c r="E102" s="45"/>
      <c r="F102" s="42"/>
      <c r="G102" s="194"/>
      <c r="H102" s="134">
        <v>6106</v>
      </c>
      <c r="I102" s="123" t="s">
        <v>165</v>
      </c>
      <c r="J102" s="126">
        <v>70000000</v>
      </c>
      <c r="K102" s="31"/>
    </row>
    <row r="103" spans="1:11" s="19" customFormat="1" ht="16.899999999999999" customHeight="1">
      <c r="A103" s="83">
        <v>6449</v>
      </c>
      <c r="B103" s="88" t="s">
        <v>167</v>
      </c>
      <c r="C103" s="49">
        <f>J105</f>
        <v>162957600</v>
      </c>
      <c r="D103" s="42"/>
      <c r="E103" s="45"/>
      <c r="F103" s="42"/>
      <c r="G103" s="194">
        <v>6450</v>
      </c>
      <c r="H103" s="132"/>
      <c r="I103" s="124"/>
      <c r="J103" s="143">
        <f t="shared" ref="J103" si="11">SUM(J104:J114)</f>
        <v>836075600</v>
      </c>
      <c r="K103" s="31"/>
    </row>
    <row r="104" spans="1:11" s="18" customFormat="1" ht="16.899999999999999" customHeight="1">
      <c r="A104" s="84">
        <v>6449</v>
      </c>
      <c r="B104" s="88" t="s">
        <v>168</v>
      </c>
      <c r="C104" s="49">
        <f>J108</f>
        <v>12000000</v>
      </c>
      <c r="D104" s="42"/>
      <c r="E104" s="45"/>
      <c r="F104" s="42"/>
      <c r="G104" s="194"/>
      <c r="H104" s="134">
        <v>6406</v>
      </c>
      <c r="I104" s="127" t="s">
        <v>202</v>
      </c>
      <c r="J104" s="126">
        <f>4410000+2700000</f>
        <v>7110000</v>
      </c>
      <c r="K104" s="31"/>
    </row>
    <row r="105" spans="1:11" s="55" customFormat="1" ht="16.899999999999999" customHeight="1">
      <c r="A105" s="84">
        <v>6449</v>
      </c>
      <c r="B105" s="88" t="s">
        <v>151</v>
      </c>
      <c r="C105" s="49">
        <f>J107</f>
        <v>21600000</v>
      </c>
      <c r="D105" s="42"/>
      <c r="E105" s="45"/>
      <c r="F105" s="42"/>
      <c r="G105" s="194"/>
      <c r="H105" s="134">
        <v>6449</v>
      </c>
      <c r="I105" s="133" t="s">
        <v>275</v>
      </c>
      <c r="J105" s="126">
        <f>10.446*1300000*12</f>
        <v>162957600</v>
      </c>
      <c r="K105" s="31"/>
    </row>
    <row r="106" spans="1:11" s="19" customFormat="1" ht="16.899999999999999" customHeight="1">
      <c r="A106" s="84">
        <v>6449</v>
      </c>
      <c r="B106" s="90" t="s">
        <v>152</v>
      </c>
      <c r="C106" s="49">
        <f>J113</f>
        <v>9200000</v>
      </c>
      <c r="D106" s="91"/>
      <c r="E106" s="95"/>
      <c r="F106" s="91"/>
      <c r="G106" s="194"/>
      <c r="H106" s="134">
        <v>6449</v>
      </c>
      <c r="I106" s="123" t="s">
        <v>276</v>
      </c>
      <c r="J106" s="126">
        <f>0.1*1300000*12</f>
        <v>1560000</v>
      </c>
      <c r="K106" s="31"/>
    </row>
    <row r="107" spans="1:11" s="55" customFormat="1" ht="16.899999999999999" customHeight="1">
      <c r="A107" s="84">
        <v>6449</v>
      </c>
      <c r="B107" s="88" t="s">
        <v>153</v>
      </c>
      <c r="C107" s="49">
        <f>J109</f>
        <v>4680000</v>
      </c>
      <c r="D107" s="42"/>
      <c r="E107" s="45"/>
      <c r="F107" s="42"/>
      <c r="G107" s="194"/>
      <c r="H107" s="134">
        <v>6449</v>
      </c>
      <c r="I107" s="123" t="s">
        <v>201</v>
      </c>
      <c r="J107" s="141">
        <v>21600000</v>
      </c>
      <c r="K107" s="113"/>
    </row>
    <row r="108" spans="1:11" s="19" customFormat="1" ht="16.899999999999999" customHeight="1">
      <c r="A108" s="84">
        <v>6449</v>
      </c>
      <c r="B108" s="123" t="s">
        <v>199</v>
      </c>
      <c r="C108" s="49">
        <f>J111</f>
        <v>601128000</v>
      </c>
      <c r="D108" s="42"/>
      <c r="E108" s="45"/>
      <c r="F108" s="42"/>
      <c r="G108" s="194"/>
      <c r="H108" s="134">
        <v>6449</v>
      </c>
      <c r="I108" s="133" t="s">
        <v>200</v>
      </c>
      <c r="J108" s="141">
        <v>12000000</v>
      </c>
      <c r="K108" s="18"/>
    </row>
    <row r="109" spans="1:11" s="55" customFormat="1" ht="16.899999999999999" customHeight="1">
      <c r="A109" s="84">
        <v>6449</v>
      </c>
      <c r="B109" s="88" t="s">
        <v>154</v>
      </c>
      <c r="C109" s="49">
        <f>J106</f>
        <v>1560000</v>
      </c>
      <c r="D109" s="42"/>
      <c r="E109" s="45"/>
      <c r="F109" s="42"/>
      <c r="G109" s="194"/>
      <c r="H109" s="134">
        <v>6449</v>
      </c>
      <c r="I109" s="123" t="s">
        <v>277</v>
      </c>
      <c r="J109" s="142">
        <f>0.3*1300000*12</f>
        <v>4680000</v>
      </c>
    </row>
    <row r="110" spans="1:11" s="19" customFormat="1" ht="16.899999999999999" customHeight="1">
      <c r="A110" s="84">
        <v>6449</v>
      </c>
      <c r="B110" s="88" t="s">
        <v>155</v>
      </c>
      <c r="C110" s="49">
        <f>J110</f>
        <v>3120000</v>
      </c>
      <c r="D110" s="42"/>
      <c r="E110" s="45"/>
      <c r="F110" s="42"/>
      <c r="G110" s="194"/>
      <c r="H110" s="134">
        <v>6449</v>
      </c>
      <c r="I110" s="123" t="s">
        <v>278</v>
      </c>
      <c r="J110" s="142">
        <f>0.2*1300000*12</f>
        <v>3120000</v>
      </c>
    </row>
    <row r="111" spans="1:11" s="70" customFormat="1" ht="16.899999999999999" customHeight="1">
      <c r="A111" s="84">
        <v>6449</v>
      </c>
      <c r="B111" s="123" t="s">
        <v>198</v>
      </c>
      <c r="C111" s="49">
        <v>0</v>
      </c>
      <c r="D111" s="42"/>
      <c r="E111" s="45"/>
      <c r="F111" s="42"/>
      <c r="G111" s="194"/>
      <c r="H111" s="134">
        <v>6449</v>
      </c>
      <c r="I111" s="123" t="s">
        <v>199</v>
      </c>
      <c r="J111" s="126">
        <v>601128000</v>
      </c>
      <c r="K111" s="55"/>
    </row>
    <row r="112" spans="1:11" s="19" customFormat="1" ht="16.899999999999999" customHeight="1">
      <c r="A112" s="84">
        <v>6449</v>
      </c>
      <c r="B112" s="88" t="s">
        <v>169</v>
      </c>
      <c r="C112" s="49">
        <f>J114</f>
        <v>10920000</v>
      </c>
      <c r="D112" s="42"/>
      <c r="E112" s="45"/>
      <c r="F112" s="42"/>
      <c r="G112" s="194"/>
      <c r="H112" s="134">
        <v>6449</v>
      </c>
      <c r="I112" s="123" t="s">
        <v>198</v>
      </c>
      <c r="J112" s="141">
        <v>1800000</v>
      </c>
    </row>
    <row r="113" spans="1:11" s="19" customFormat="1" ht="16.899999999999999" customHeight="1">
      <c r="A113" s="86"/>
      <c r="B113" s="89" t="s">
        <v>66</v>
      </c>
      <c r="C113" s="26">
        <f>C114+C118+C116</f>
        <v>166800000</v>
      </c>
      <c r="D113" s="44"/>
      <c r="E113" s="94"/>
      <c r="F113" s="44"/>
      <c r="G113" s="194"/>
      <c r="H113" s="134">
        <v>6449</v>
      </c>
      <c r="I113" s="123" t="s">
        <v>197</v>
      </c>
      <c r="J113" s="118">
        <f>46*200000</f>
        <v>9200000</v>
      </c>
    </row>
    <row r="114" spans="1:11" s="19" customFormat="1" ht="16.899999999999999" customHeight="1">
      <c r="A114" s="85">
        <v>6750</v>
      </c>
      <c r="B114" s="88" t="s">
        <v>158</v>
      </c>
      <c r="C114" s="61">
        <f>C115</f>
        <v>70000000</v>
      </c>
      <c r="D114" s="54"/>
      <c r="E114" s="93"/>
      <c r="F114" s="54"/>
      <c r="G114" s="194"/>
      <c r="H114" s="134">
        <v>6449</v>
      </c>
      <c r="I114" s="140" t="s">
        <v>279</v>
      </c>
      <c r="J114" s="126">
        <f>0.7*1300000*12</f>
        <v>10920000</v>
      </c>
    </row>
    <row r="115" spans="1:11" s="19" customFormat="1" ht="16.899999999999999" customHeight="1">
      <c r="A115" s="84">
        <v>6758</v>
      </c>
      <c r="B115" s="88" t="s">
        <v>159</v>
      </c>
      <c r="C115" s="49">
        <f>J116</f>
        <v>70000000</v>
      </c>
      <c r="D115" s="42"/>
      <c r="E115" s="45"/>
      <c r="F115" s="42"/>
      <c r="G115" s="194">
        <v>6750</v>
      </c>
      <c r="H115" s="132"/>
      <c r="I115" s="139" t="s">
        <v>196</v>
      </c>
      <c r="J115" s="117">
        <f t="shared" ref="J115" si="12">SUM(J116:J117)</f>
        <v>70000000</v>
      </c>
    </row>
    <row r="116" spans="1:11" s="18" customFormat="1" ht="49.5">
      <c r="A116" s="85">
        <v>6900</v>
      </c>
      <c r="B116" s="215" t="s">
        <v>194</v>
      </c>
      <c r="C116" s="216">
        <f>J118</f>
        <v>95000000</v>
      </c>
      <c r="D116" s="54"/>
      <c r="E116" s="93"/>
      <c r="F116" s="54"/>
      <c r="G116" s="199"/>
      <c r="H116" s="119">
        <v>6758</v>
      </c>
      <c r="I116" s="127" t="s">
        <v>280</v>
      </c>
      <c r="J116" s="126">
        <v>70000000</v>
      </c>
      <c r="K116" s="92"/>
    </row>
    <row r="117" spans="1:11" s="19" customFormat="1" ht="16.899999999999999" customHeight="1">
      <c r="A117" s="84">
        <v>6949</v>
      </c>
      <c r="B117" s="135" t="s">
        <v>281</v>
      </c>
      <c r="C117" s="49">
        <f>J119</f>
        <v>95000000</v>
      </c>
      <c r="D117" s="42"/>
      <c r="E117" s="45"/>
      <c r="F117" s="42"/>
      <c r="G117" s="200"/>
      <c r="H117" s="138">
        <v>6799</v>
      </c>
      <c r="I117" s="137" t="s">
        <v>195</v>
      </c>
      <c r="J117" s="118">
        <f>O105</f>
        <v>0</v>
      </c>
    </row>
    <row r="118" spans="1:11" s="19" customFormat="1" ht="16.899999999999999" customHeight="1">
      <c r="A118" s="85">
        <v>7000</v>
      </c>
      <c r="B118" s="88" t="s">
        <v>150</v>
      </c>
      <c r="C118" s="61">
        <f>C119</f>
        <v>1800000</v>
      </c>
      <c r="D118" s="54"/>
      <c r="E118" s="93"/>
      <c r="F118" s="54"/>
      <c r="G118" s="194">
        <v>6900</v>
      </c>
      <c r="H118" s="132"/>
      <c r="I118" s="124" t="s">
        <v>194</v>
      </c>
      <c r="J118" s="117">
        <f t="shared" ref="J118" si="13">SUM(J119:J120)</f>
        <v>95000000</v>
      </c>
    </row>
    <row r="119" spans="1:11" s="19" customFormat="1" ht="30">
      <c r="A119" s="84">
        <v>7004</v>
      </c>
      <c r="B119" s="88" t="s">
        <v>160</v>
      </c>
      <c r="C119" s="49">
        <f>J112</f>
        <v>1800000</v>
      </c>
      <c r="D119" s="42"/>
      <c r="E119" s="45"/>
      <c r="F119" s="42"/>
      <c r="G119" s="201"/>
      <c r="H119" s="136">
        <v>6949</v>
      </c>
      <c r="I119" s="135" t="s">
        <v>281</v>
      </c>
      <c r="J119" s="117">
        <v>95000000</v>
      </c>
    </row>
    <row r="120" spans="1:11" s="19" customFormat="1" ht="18">
      <c r="A120" s="87"/>
      <c r="B120" s="89" t="s">
        <v>61</v>
      </c>
      <c r="C120" s="26">
        <f>SUM(C121:C124)</f>
        <v>71130000</v>
      </c>
      <c r="D120" s="69"/>
      <c r="E120" s="96"/>
      <c r="F120" s="69"/>
      <c r="G120" s="194"/>
      <c r="H120" s="134">
        <v>6949</v>
      </c>
      <c r="I120" s="133" t="s">
        <v>193</v>
      </c>
      <c r="J120" s="118">
        <v>0</v>
      </c>
    </row>
    <row r="121" spans="1:11" s="19" customFormat="1" ht="17.25">
      <c r="A121" s="84">
        <v>7757</v>
      </c>
      <c r="B121" s="88" t="s">
        <v>161</v>
      </c>
      <c r="C121" s="49">
        <f>J128</f>
        <v>20000000</v>
      </c>
      <c r="D121" s="42"/>
      <c r="E121" s="45"/>
      <c r="F121" s="42"/>
      <c r="G121" s="194"/>
      <c r="H121" s="134"/>
      <c r="I121" s="133"/>
      <c r="J121" s="118"/>
    </row>
    <row r="122" spans="1:11">
      <c r="A122" s="84">
        <v>7799</v>
      </c>
      <c r="B122" s="88" t="s">
        <v>162</v>
      </c>
      <c r="C122" s="49">
        <f>J127</f>
        <v>46000000</v>
      </c>
      <c r="D122" s="42"/>
      <c r="E122" s="45"/>
      <c r="F122" s="42"/>
      <c r="G122" s="199">
        <v>7000</v>
      </c>
      <c r="H122" s="122"/>
      <c r="I122" s="128" t="s">
        <v>192</v>
      </c>
      <c r="J122" s="117">
        <f t="shared" ref="J122" si="14">SUM(J123)</f>
        <v>0</v>
      </c>
      <c r="K122" s="19"/>
    </row>
    <row r="123" spans="1:11">
      <c r="A123" s="84">
        <v>7799</v>
      </c>
      <c r="B123" s="88" t="s">
        <v>163</v>
      </c>
      <c r="C123" s="49">
        <v>0</v>
      </c>
      <c r="D123" s="42"/>
      <c r="E123" s="45"/>
      <c r="F123" s="42"/>
      <c r="G123" s="194"/>
      <c r="H123" s="131">
        <v>7049</v>
      </c>
      <c r="I123" s="130" t="s">
        <v>191</v>
      </c>
      <c r="J123" s="118">
        <f>SUM(K111:N111)</f>
        <v>0</v>
      </c>
      <c r="K123" s="18"/>
    </row>
    <row r="124" spans="1:11">
      <c r="A124" s="83">
        <v>7766</v>
      </c>
      <c r="B124" s="88" t="s">
        <v>164</v>
      </c>
      <c r="C124" s="49">
        <f>J125+J126</f>
        <v>5130000</v>
      </c>
      <c r="D124" s="42"/>
      <c r="E124" s="45"/>
      <c r="F124" s="42"/>
      <c r="G124" s="199">
        <v>7750</v>
      </c>
      <c r="H124" s="129"/>
      <c r="I124" s="128" t="s">
        <v>190</v>
      </c>
      <c r="J124" s="117">
        <f t="shared" ref="J124" si="15">SUM(J125:J128)</f>
        <v>71130000</v>
      </c>
      <c r="K124" s="55"/>
    </row>
    <row r="125" spans="1:11">
      <c r="A125" s="21"/>
      <c r="B125" s="89" t="s">
        <v>149</v>
      </c>
      <c r="C125" s="26">
        <f>C126+C127</f>
        <v>350000000</v>
      </c>
      <c r="D125" s="38"/>
      <c r="E125" s="97"/>
      <c r="F125" s="38"/>
      <c r="G125" s="199"/>
      <c r="H125" s="119">
        <v>7766</v>
      </c>
      <c r="I125" s="127" t="s">
        <v>189</v>
      </c>
      <c r="J125" s="126">
        <f>(1350000+1080000+2700000)*60%</f>
        <v>3078000</v>
      </c>
      <c r="K125" s="19"/>
    </row>
    <row r="126" spans="1:11">
      <c r="A126" s="84">
        <v>9099</v>
      </c>
      <c r="B126" s="123" t="s">
        <v>184</v>
      </c>
      <c r="C126" s="49">
        <f>J130</f>
        <v>70000000</v>
      </c>
      <c r="D126" s="42"/>
      <c r="E126" s="45"/>
      <c r="F126" s="42"/>
      <c r="G126" s="199"/>
      <c r="H126" s="119">
        <v>7766</v>
      </c>
      <c r="I126" s="127" t="s">
        <v>188</v>
      </c>
      <c r="J126" s="126">
        <f>(1350000+1080000+2700000)*40%</f>
        <v>2052000</v>
      </c>
      <c r="K126" s="55"/>
    </row>
    <row r="127" spans="1:11" ht="30.75">
      <c r="A127" s="36"/>
      <c r="B127" s="121" t="s">
        <v>183</v>
      </c>
      <c r="C127" s="42">
        <f>J131</f>
        <v>280000000</v>
      </c>
      <c r="D127" s="42"/>
      <c r="E127" s="45"/>
      <c r="F127" s="42"/>
      <c r="G127" s="199"/>
      <c r="H127" s="119">
        <v>7799</v>
      </c>
      <c r="I127" s="125" t="s">
        <v>187</v>
      </c>
      <c r="J127" s="118">
        <v>46000000</v>
      </c>
      <c r="K127" s="19"/>
    </row>
    <row r="128" spans="1:11">
      <c r="A128" s="19"/>
      <c r="B128" s="19"/>
      <c r="C128" s="19"/>
      <c r="D128" s="265" t="s">
        <v>318</v>
      </c>
      <c r="E128" s="265"/>
      <c r="F128" s="265"/>
      <c r="G128" s="199"/>
      <c r="H128" s="119">
        <v>7799</v>
      </c>
      <c r="I128" s="123" t="s">
        <v>186</v>
      </c>
      <c r="J128" s="118">
        <v>20000000</v>
      </c>
      <c r="K128" s="55"/>
    </row>
    <row r="129" spans="1:11">
      <c r="A129" s="19"/>
      <c r="B129" s="18" t="s">
        <v>170</v>
      </c>
      <c r="C129" s="19"/>
      <c r="D129" s="266" t="s">
        <v>49</v>
      </c>
      <c r="E129" s="266"/>
      <c r="F129" s="266"/>
      <c r="G129" s="199">
        <v>9099</v>
      </c>
      <c r="H129" s="119"/>
      <c r="I129" s="124" t="s">
        <v>185</v>
      </c>
      <c r="J129" s="117">
        <f>SUM(J130:J131)</f>
        <v>350000000</v>
      </c>
      <c r="K129" s="19"/>
    </row>
    <row r="130" spans="1:11">
      <c r="A130" s="19"/>
      <c r="B130" s="19"/>
      <c r="C130" s="19"/>
      <c r="D130" s="19"/>
      <c r="E130" s="19"/>
      <c r="F130" s="19"/>
      <c r="G130" s="199"/>
      <c r="H130" s="119"/>
      <c r="I130" s="123" t="s">
        <v>184</v>
      </c>
      <c r="J130" s="118">
        <v>70000000</v>
      </c>
      <c r="K130" s="70"/>
    </row>
    <row r="131" spans="1:11" ht="30.75">
      <c r="G131" s="199"/>
      <c r="H131" s="119"/>
      <c r="I131" s="121" t="s">
        <v>183</v>
      </c>
      <c r="J131" s="118">
        <f>140*2000000</f>
        <v>280000000</v>
      </c>
      <c r="K131" s="19"/>
    </row>
    <row r="132" spans="1:11">
      <c r="G132" s="264" t="s">
        <v>182</v>
      </c>
      <c r="H132" s="264"/>
      <c r="I132" s="264"/>
      <c r="J132" s="120" t="e">
        <f t="shared" ref="J132" si="16">J100+#REF!</f>
        <v>#REF!</v>
      </c>
      <c r="K132" s="19"/>
    </row>
    <row r="133" spans="1:11">
      <c r="G133" s="202"/>
      <c r="H133" s="19"/>
      <c r="I133" s="19"/>
      <c r="J133" s="19"/>
      <c r="K133" s="19"/>
    </row>
    <row r="134" spans="1:11">
      <c r="K134" s="19"/>
    </row>
    <row r="135" spans="1:11">
      <c r="K135" s="18"/>
    </row>
    <row r="136" spans="1:11">
      <c r="K136" s="19"/>
    </row>
    <row r="137" spans="1:11">
      <c r="K137" s="19"/>
    </row>
    <row r="138" spans="1:11">
      <c r="K138" s="19"/>
    </row>
    <row r="139" spans="1:11">
      <c r="K139" s="19"/>
    </row>
    <row r="140" spans="1:11">
      <c r="K140" s="19"/>
    </row>
  </sheetData>
  <mergeCells count="19">
    <mergeCell ref="E2:F2"/>
    <mergeCell ref="A3:B3"/>
    <mergeCell ref="A4:F4"/>
    <mergeCell ref="G1:I1"/>
    <mergeCell ref="H2:I2"/>
    <mergeCell ref="A1:F1"/>
    <mergeCell ref="A2:B2"/>
    <mergeCell ref="G100:I100"/>
    <mergeCell ref="G132:I132"/>
    <mergeCell ref="D128:F128"/>
    <mergeCell ref="D129:F129"/>
    <mergeCell ref="A5:F5"/>
    <mergeCell ref="A6:F6"/>
    <mergeCell ref="E7:F7"/>
    <mergeCell ref="A8:A9"/>
    <mergeCell ref="B8:B9"/>
    <mergeCell ref="C8:C9"/>
    <mergeCell ref="D8:D9"/>
    <mergeCell ref="E8:F8"/>
  </mergeCells>
  <pageMargins left="0.3" right="0.2" top="0.56000000000000005"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41"/>
  <sheetViews>
    <sheetView tabSelected="1" topLeftCell="A114" workbookViewId="0">
      <selection activeCell="G99" sqref="G99"/>
    </sheetView>
  </sheetViews>
  <sheetFormatPr defaultRowHeight="15"/>
  <cols>
    <col min="1" max="1" width="6.85546875" customWidth="1"/>
    <col min="2" max="2" width="24.85546875" customWidth="1"/>
    <col min="3" max="3" width="14" customWidth="1"/>
    <col min="4" max="4" width="14.140625" customWidth="1"/>
    <col min="5" max="5" width="15.7109375" customWidth="1"/>
    <col min="6" max="6" width="13.5703125" customWidth="1"/>
    <col min="7" max="7" width="9.140625" customWidth="1"/>
    <col min="8" max="8" width="7.140625" hidden="1" customWidth="1"/>
    <col min="9" max="9" width="16.85546875" hidden="1" customWidth="1"/>
    <col min="10" max="10" width="15.7109375" hidden="1" customWidth="1"/>
    <col min="11" max="11" width="15" hidden="1" customWidth="1"/>
    <col min="12" max="12" width="14.28515625" hidden="1" customWidth="1"/>
    <col min="13" max="13" width="14.7109375" hidden="1" customWidth="1"/>
    <col min="14" max="15" width="9.140625" hidden="1" customWidth="1"/>
    <col min="16" max="16" width="12.85546875" hidden="1" customWidth="1"/>
    <col min="17" max="19" width="0" hidden="1" customWidth="1"/>
  </cols>
  <sheetData>
    <row r="1" spans="1:7" ht="34.5" customHeight="1">
      <c r="A1" s="284" t="s">
        <v>172</v>
      </c>
      <c r="B1" s="284"/>
      <c r="C1" s="284"/>
      <c r="D1" s="284"/>
      <c r="E1" s="284"/>
      <c r="F1" s="284"/>
      <c r="G1" s="284"/>
    </row>
    <row r="2" spans="1:7" s="98" customFormat="1" ht="18.75">
      <c r="A2" s="288" t="str">
        <f>'Bieu 3'!A2:B2</f>
        <v>Trường THCS Mỹ Phước</v>
      </c>
      <c r="B2" s="288"/>
      <c r="C2" s="27"/>
      <c r="D2" s="28"/>
      <c r="E2" s="29"/>
      <c r="F2" s="29"/>
    </row>
    <row r="3" spans="1:7" ht="15.75">
      <c r="A3" s="289" t="str">
        <f>'Bieu 3'!A3:B3</f>
        <v xml:space="preserve"> Chương: 622</v>
      </c>
      <c r="B3" s="289"/>
      <c r="C3" s="3"/>
      <c r="D3" s="2"/>
      <c r="E3" s="4"/>
      <c r="F3" s="4"/>
    </row>
    <row r="4" spans="1:7" ht="22.5" customHeight="1">
      <c r="A4" s="290" t="s">
        <v>171</v>
      </c>
      <c r="B4" s="290"/>
      <c r="C4" s="290"/>
      <c r="D4" s="290"/>
      <c r="E4" s="290"/>
      <c r="F4" s="290"/>
      <c r="G4" s="290"/>
    </row>
    <row r="5" spans="1:7" s="1" customFormat="1" ht="18">
      <c r="A5" s="293" t="s">
        <v>52</v>
      </c>
      <c r="B5" s="293"/>
      <c r="C5" s="293"/>
      <c r="D5" s="293"/>
      <c r="E5" s="293"/>
      <c r="F5" s="293"/>
      <c r="G5" s="293"/>
    </row>
    <row r="6" spans="1:7" ht="15.75">
      <c r="A6" s="291" t="s">
        <v>9</v>
      </c>
      <c r="B6" s="291"/>
      <c r="C6" s="291"/>
      <c r="D6" s="291"/>
      <c r="E6" s="291"/>
      <c r="F6" s="291"/>
      <c r="G6" s="291"/>
    </row>
    <row r="7" spans="1:7" ht="15.75">
      <c r="A7" s="291" t="s">
        <v>22</v>
      </c>
      <c r="B7" s="291"/>
      <c r="C7" s="291"/>
      <c r="D7" s="291"/>
      <c r="E7" s="291"/>
      <c r="F7" s="291"/>
      <c r="G7" s="291"/>
    </row>
    <row r="8" spans="1:7" ht="15.75">
      <c r="A8" s="4"/>
      <c r="B8" s="4"/>
      <c r="C8" s="292" t="s">
        <v>180</v>
      </c>
      <c r="D8" s="292"/>
      <c r="E8" s="292"/>
      <c r="F8" s="292"/>
      <c r="G8" s="292"/>
    </row>
    <row r="9" spans="1:7" s="15" customFormat="1" ht="15.75">
      <c r="A9" s="294" t="s">
        <v>21</v>
      </c>
      <c r="B9" s="296" t="s">
        <v>11</v>
      </c>
      <c r="C9" s="294" t="s">
        <v>16</v>
      </c>
      <c r="D9" s="294" t="s">
        <v>15</v>
      </c>
      <c r="E9" s="298" t="s">
        <v>18</v>
      </c>
      <c r="F9" s="298"/>
      <c r="G9" s="298"/>
    </row>
    <row r="10" spans="1:7" s="15" customFormat="1" ht="51.75" customHeight="1">
      <c r="A10" s="297"/>
      <c r="B10" s="297"/>
      <c r="C10" s="295"/>
      <c r="D10" s="295"/>
      <c r="E10" s="14" t="s">
        <v>50</v>
      </c>
      <c r="F10" s="14" t="s">
        <v>19</v>
      </c>
      <c r="G10" s="14" t="s">
        <v>20</v>
      </c>
    </row>
    <row r="11" spans="1:7" s="102" customFormat="1" ht="18">
      <c r="A11" s="17" t="s">
        <v>1</v>
      </c>
      <c r="B11" s="99" t="s">
        <v>10</v>
      </c>
      <c r="C11" s="100"/>
      <c r="D11" s="100"/>
      <c r="E11" s="100"/>
      <c r="F11" s="100"/>
      <c r="G11" s="101"/>
    </row>
    <row r="12" spans="1:7" s="1" customFormat="1" ht="18">
      <c r="A12" s="7" t="s">
        <v>0</v>
      </c>
      <c r="B12" s="12" t="s">
        <v>2</v>
      </c>
      <c r="C12" s="5"/>
      <c r="D12" s="5"/>
      <c r="E12" s="5"/>
      <c r="F12" s="5"/>
      <c r="G12" s="6"/>
    </row>
    <row r="13" spans="1:7" s="1" customFormat="1" ht="18">
      <c r="A13" s="7">
        <v>1</v>
      </c>
      <c r="B13" s="12" t="s">
        <v>29</v>
      </c>
      <c r="C13" s="10"/>
      <c r="D13" s="6"/>
      <c r="E13" s="6"/>
      <c r="F13" s="6"/>
      <c r="G13" s="6"/>
    </row>
    <row r="14" spans="1:7" s="1" customFormat="1" ht="18">
      <c r="A14" s="7" t="s">
        <v>30</v>
      </c>
      <c r="B14" s="12" t="s">
        <v>31</v>
      </c>
      <c r="C14" s="8"/>
      <c r="D14" s="6"/>
      <c r="E14" s="6"/>
      <c r="F14" s="6"/>
      <c r="G14" s="6"/>
    </row>
    <row r="15" spans="1:7" s="1" customFormat="1" ht="18">
      <c r="A15" s="7" t="s">
        <v>32</v>
      </c>
      <c r="B15" s="12" t="s">
        <v>33</v>
      </c>
      <c r="C15" s="8"/>
      <c r="D15" s="6"/>
      <c r="E15" s="6"/>
      <c r="F15" s="6"/>
      <c r="G15" s="6"/>
    </row>
    <row r="16" spans="1:7" ht="15.75">
      <c r="A16" s="7">
        <v>2</v>
      </c>
      <c r="B16" s="8" t="s">
        <v>3</v>
      </c>
      <c r="C16" s="10"/>
      <c r="D16" s="6"/>
      <c r="E16" s="6"/>
      <c r="F16" s="6"/>
      <c r="G16" s="16"/>
    </row>
    <row r="17" spans="1:7" ht="15.75">
      <c r="A17" s="7">
        <v>3</v>
      </c>
      <c r="B17" s="8" t="s">
        <v>4</v>
      </c>
      <c r="C17" s="10"/>
      <c r="D17" s="6"/>
      <c r="E17" s="6"/>
      <c r="F17" s="6"/>
      <c r="G17" s="16"/>
    </row>
    <row r="18" spans="1:7" ht="15.75">
      <c r="A18" s="7" t="s">
        <v>8</v>
      </c>
      <c r="B18" s="8" t="s">
        <v>48</v>
      </c>
      <c r="C18" s="10"/>
      <c r="D18" s="6"/>
      <c r="E18" s="6"/>
      <c r="F18" s="6"/>
      <c r="G18" s="16"/>
    </row>
    <row r="19" spans="1:7" s="1" customFormat="1" ht="18">
      <c r="A19" s="7">
        <v>1</v>
      </c>
      <c r="B19" s="12" t="s">
        <v>34</v>
      </c>
      <c r="C19" s="8"/>
      <c r="D19" s="6"/>
      <c r="E19" s="6"/>
      <c r="F19" s="6"/>
      <c r="G19" s="6"/>
    </row>
    <row r="20" spans="1:7" s="1" customFormat="1" ht="18">
      <c r="A20" s="7" t="s">
        <v>30</v>
      </c>
      <c r="B20" s="12" t="s">
        <v>36</v>
      </c>
      <c r="C20" s="8"/>
      <c r="D20" s="6"/>
      <c r="E20" s="6"/>
      <c r="F20" s="6"/>
      <c r="G20" s="6"/>
    </row>
    <row r="21" spans="1:7" s="1" customFormat="1" ht="18" hidden="1">
      <c r="A21" s="7" t="s">
        <v>37</v>
      </c>
      <c r="B21" s="12" t="s">
        <v>38</v>
      </c>
      <c r="C21" s="10"/>
      <c r="D21" s="6"/>
      <c r="E21" s="6"/>
      <c r="F21" s="6"/>
      <c r="G21" s="6"/>
    </row>
    <row r="22" spans="1:7" s="1" customFormat="1" ht="18" hidden="1">
      <c r="A22" s="7" t="s">
        <v>39</v>
      </c>
      <c r="B22" s="12" t="s">
        <v>40</v>
      </c>
      <c r="C22" s="8"/>
      <c r="D22" s="6"/>
      <c r="E22" s="6"/>
      <c r="F22" s="6"/>
      <c r="G22" s="6"/>
    </row>
    <row r="23" spans="1:7" s="1" customFormat="1" ht="18" hidden="1">
      <c r="A23" s="7" t="s">
        <v>32</v>
      </c>
      <c r="B23" s="12" t="s">
        <v>13</v>
      </c>
      <c r="C23" s="9"/>
      <c r="D23" s="6"/>
      <c r="E23" s="6"/>
      <c r="F23" s="6"/>
      <c r="G23" s="6"/>
    </row>
    <row r="24" spans="1:7" s="1" customFormat="1" ht="18" hidden="1">
      <c r="A24" s="7" t="s">
        <v>37</v>
      </c>
      <c r="B24" s="13" t="s">
        <v>42</v>
      </c>
      <c r="C24" s="8"/>
      <c r="D24" s="6"/>
      <c r="E24" s="6"/>
      <c r="F24" s="6"/>
      <c r="G24" s="6"/>
    </row>
    <row r="25" spans="1:7" s="1" customFormat="1" ht="31.5" hidden="1">
      <c r="A25" s="7" t="s">
        <v>39</v>
      </c>
      <c r="B25" s="12" t="s">
        <v>43</v>
      </c>
      <c r="C25" s="9"/>
      <c r="D25" s="6"/>
      <c r="E25" s="6"/>
      <c r="F25" s="6"/>
      <c r="G25" s="6"/>
    </row>
    <row r="26" spans="1:7" ht="15.75" hidden="1">
      <c r="A26" s="7">
        <v>2</v>
      </c>
      <c r="B26" s="8" t="s">
        <v>6</v>
      </c>
      <c r="C26" s="10"/>
      <c r="D26" s="6"/>
      <c r="E26" s="6"/>
      <c r="F26" s="6"/>
      <c r="G26" s="16"/>
    </row>
    <row r="27" spans="1:7" ht="15.75">
      <c r="A27" s="7">
        <v>3</v>
      </c>
      <c r="B27" s="8" t="s">
        <v>7</v>
      </c>
      <c r="C27" s="10"/>
      <c r="D27" s="6"/>
      <c r="E27" s="6"/>
      <c r="F27" s="6"/>
      <c r="G27" s="16"/>
    </row>
    <row r="28" spans="1:7" s="102" customFormat="1" ht="18">
      <c r="A28" s="17" t="s">
        <v>5</v>
      </c>
      <c r="B28" s="99" t="s">
        <v>17</v>
      </c>
      <c r="C28" s="103"/>
      <c r="D28" s="101"/>
      <c r="E28" s="101"/>
      <c r="F28" s="101"/>
      <c r="G28" s="101"/>
    </row>
    <row r="29" spans="1:7" s="1" customFormat="1" ht="18">
      <c r="A29" s="7">
        <v>1</v>
      </c>
      <c r="B29" s="12" t="s">
        <v>13</v>
      </c>
      <c r="C29" s="11"/>
      <c r="D29" s="6"/>
      <c r="E29" s="6"/>
      <c r="F29" s="6"/>
      <c r="G29" s="6"/>
    </row>
    <row r="30" spans="1:7" s="1" customFormat="1" ht="18">
      <c r="A30" s="78" t="s">
        <v>30</v>
      </c>
      <c r="B30" s="79" t="s">
        <v>42</v>
      </c>
      <c r="C30" s="80">
        <f>C31+C47</f>
        <v>1033593475</v>
      </c>
      <c r="D30" s="80">
        <f>D31+D47</f>
        <v>1033593475</v>
      </c>
      <c r="E30" s="6"/>
      <c r="F30" s="6"/>
      <c r="G30" s="6"/>
    </row>
    <row r="31" spans="1:7" s="1" customFormat="1" ht="18">
      <c r="A31" s="50"/>
      <c r="B31" s="57" t="s">
        <v>101</v>
      </c>
      <c r="C31" s="58">
        <f>C32+C35+C42</f>
        <v>912023190</v>
      </c>
      <c r="D31" s="58">
        <f>D32+D35+D42</f>
        <v>912023190</v>
      </c>
      <c r="E31" s="6"/>
      <c r="F31" s="6"/>
      <c r="G31" s="6"/>
    </row>
    <row r="32" spans="1:7" ht="15.75">
      <c r="A32" s="74">
        <v>6000</v>
      </c>
      <c r="B32" s="60" t="s">
        <v>100</v>
      </c>
      <c r="C32" s="61">
        <f>C33+C34</f>
        <v>556920000</v>
      </c>
      <c r="D32" s="61">
        <f>D33+D34</f>
        <v>556920000</v>
      </c>
      <c r="E32" s="107"/>
      <c r="F32" s="107"/>
      <c r="G32" s="107"/>
    </row>
    <row r="33" spans="1:7" ht="15.75">
      <c r="A33" s="62">
        <v>6001</v>
      </c>
      <c r="B33" s="108" t="s">
        <v>176</v>
      </c>
      <c r="C33" s="49">
        <v>354783000</v>
      </c>
      <c r="D33" s="48">
        <f>C33</f>
        <v>354783000</v>
      </c>
      <c r="E33" s="107"/>
      <c r="F33" s="107"/>
      <c r="G33" s="107"/>
    </row>
    <row r="34" spans="1:7" ht="15.75">
      <c r="A34" s="63">
        <v>6003</v>
      </c>
      <c r="B34" s="108" t="s">
        <v>103</v>
      </c>
      <c r="C34" s="49">
        <v>202137000</v>
      </c>
      <c r="D34" s="48">
        <f t="shared" ref="D34:D95" si="0">C34</f>
        <v>202137000</v>
      </c>
      <c r="E34" s="107"/>
      <c r="F34" s="107"/>
      <c r="G34" s="107"/>
    </row>
    <row r="35" spans="1:7" ht="15.75">
      <c r="A35" s="75">
        <v>6100</v>
      </c>
      <c r="B35" s="64" t="s">
        <v>99</v>
      </c>
      <c r="C35" s="61">
        <f>SUM(C36:C41)</f>
        <v>216874673</v>
      </c>
      <c r="D35" s="61">
        <f>SUM(D36:D41)</f>
        <v>216874673</v>
      </c>
      <c r="E35" s="107"/>
      <c r="F35" s="107"/>
      <c r="G35" s="107"/>
    </row>
    <row r="36" spans="1:7" ht="15.75">
      <c r="A36" s="62">
        <v>6101</v>
      </c>
      <c r="B36" s="51" t="s">
        <v>105</v>
      </c>
      <c r="C36" s="49">
        <v>11505000</v>
      </c>
      <c r="D36" s="48">
        <f t="shared" si="0"/>
        <v>11505000</v>
      </c>
      <c r="E36" s="107"/>
      <c r="F36" s="107"/>
      <c r="G36" s="107"/>
    </row>
    <row r="37" spans="1:7" ht="15.75">
      <c r="A37" s="62">
        <v>6107</v>
      </c>
      <c r="B37" s="51" t="s">
        <v>106</v>
      </c>
      <c r="C37" s="49">
        <v>1560000</v>
      </c>
      <c r="D37" s="48">
        <f t="shared" si="0"/>
        <v>1560000</v>
      </c>
      <c r="E37" s="107"/>
      <c r="F37" s="107"/>
      <c r="G37" s="107"/>
    </row>
    <row r="38" spans="1:7" ht="15.75">
      <c r="A38" s="63">
        <v>6112</v>
      </c>
      <c r="B38" s="51" t="s">
        <v>107</v>
      </c>
      <c r="C38" s="48">
        <v>127537800</v>
      </c>
      <c r="D38" s="48">
        <f t="shared" si="0"/>
        <v>127537800</v>
      </c>
      <c r="E38" s="107"/>
      <c r="F38" s="107"/>
      <c r="G38" s="107"/>
    </row>
    <row r="39" spans="1:7" ht="15.75">
      <c r="A39" s="63">
        <v>6113</v>
      </c>
      <c r="B39" s="51" t="s">
        <v>108</v>
      </c>
      <c r="C39" s="49">
        <v>390000</v>
      </c>
      <c r="D39" s="48">
        <f t="shared" si="0"/>
        <v>390000</v>
      </c>
      <c r="E39" s="107"/>
      <c r="F39" s="107"/>
      <c r="G39" s="107"/>
    </row>
    <row r="40" spans="1:7" ht="15.75">
      <c r="A40" s="63">
        <v>6115</v>
      </c>
      <c r="B40" s="51" t="s">
        <v>109</v>
      </c>
      <c r="C40" s="49">
        <v>74133893</v>
      </c>
      <c r="D40" s="48">
        <f t="shared" si="0"/>
        <v>74133893</v>
      </c>
      <c r="E40" s="107"/>
      <c r="F40" s="107"/>
      <c r="G40" s="107"/>
    </row>
    <row r="41" spans="1:7" ht="15.75">
      <c r="A41" s="62">
        <v>6115</v>
      </c>
      <c r="B41" s="51" t="s">
        <v>93</v>
      </c>
      <c r="C41" s="49">
        <v>1747980</v>
      </c>
      <c r="D41" s="48">
        <f t="shared" si="0"/>
        <v>1747980</v>
      </c>
      <c r="E41" s="107"/>
      <c r="F41" s="107"/>
      <c r="G41" s="107"/>
    </row>
    <row r="42" spans="1:7" ht="15.75">
      <c r="A42" s="75">
        <v>6300</v>
      </c>
      <c r="B42" s="64" t="s">
        <v>97</v>
      </c>
      <c r="C42" s="61">
        <f>SUM(C43:C46)</f>
        <v>138228517</v>
      </c>
      <c r="D42" s="61">
        <f>SUM(D43:D46)</f>
        <v>138228517</v>
      </c>
      <c r="E42" s="107"/>
      <c r="F42" s="107"/>
      <c r="G42" s="107"/>
    </row>
    <row r="43" spans="1:7" ht="15.75">
      <c r="A43" s="62">
        <v>6301</v>
      </c>
      <c r="B43" s="51" t="s">
        <v>98</v>
      </c>
      <c r="C43" s="48">
        <v>112753703</v>
      </c>
      <c r="D43" s="48">
        <f t="shared" si="0"/>
        <v>112753703</v>
      </c>
      <c r="E43" s="107"/>
      <c r="F43" s="107"/>
      <c r="G43" s="107"/>
    </row>
    <row r="44" spans="1:7" ht="15.75">
      <c r="A44" s="62">
        <v>6302</v>
      </c>
      <c r="B44" s="51" t="s">
        <v>94</v>
      </c>
      <c r="C44" s="48">
        <v>19329206</v>
      </c>
      <c r="D44" s="48">
        <f t="shared" si="0"/>
        <v>19329206</v>
      </c>
      <c r="E44" s="107"/>
      <c r="F44" s="107"/>
      <c r="G44" s="107"/>
    </row>
    <row r="45" spans="1:7" ht="15.75">
      <c r="A45" s="62">
        <v>6303</v>
      </c>
      <c r="B45" s="51" t="s">
        <v>95</v>
      </c>
      <c r="C45" s="48">
        <v>0</v>
      </c>
      <c r="D45" s="48">
        <f t="shared" si="0"/>
        <v>0</v>
      </c>
      <c r="E45" s="107"/>
      <c r="F45" s="107"/>
      <c r="G45" s="107"/>
    </row>
    <row r="46" spans="1:7" ht="15.75">
      <c r="A46" s="62">
        <v>6304</v>
      </c>
      <c r="B46" s="51" t="s">
        <v>96</v>
      </c>
      <c r="C46" s="48">
        <v>6145608</v>
      </c>
      <c r="D46" s="48">
        <f t="shared" si="0"/>
        <v>6145608</v>
      </c>
      <c r="E46" s="107"/>
      <c r="F46" s="107"/>
      <c r="G46" s="107"/>
    </row>
    <row r="47" spans="1:7" ht="15.75">
      <c r="A47" s="68"/>
      <c r="B47" s="53" t="s">
        <v>113</v>
      </c>
      <c r="C47" s="65">
        <f>C48+C50+C53+C56+C60+C66+C71+C79+C84</f>
        <v>121570285</v>
      </c>
      <c r="D47" s="65">
        <f>D48+D50+D53+D56+D60+D66+D71+D79+D84</f>
        <v>121570285</v>
      </c>
      <c r="E47" s="107"/>
      <c r="F47" s="107"/>
      <c r="G47" s="107"/>
    </row>
    <row r="48" spans="1:7" ht="15.75">
      <c r="A48" s="73">
        <v>6400</v>
      </c>
      <c r="B48" s="71" t="s">
        <v>101</v>
      </c>
      <c r="C48" s="72">
        <f>SUM(C49:C49)</f>
        <v>0</v>
      </c>
      <c r="D48" s="48">
        <f t="shared" si="0"/>
        <v>0</v>
      </c>
      <c r="E48" s="107"/>
      <c r="F48" s="107"/>
      <c r="G48" s="107"/>
    </row>
    <row r="49" spans="1:7" ht="15.75">
      <c r="A49" s="66">
        <v>6449</v>
      </c>
      <c r="B49" s="51" t="s">
        <v>114</v>
      </c>
      <c r="C49" s="49">
        <v>0</v>
      </c>
      <c r="D49" s="48">
        <f t="shared" si="0"/>
        <v>0</v>
      </c>
      <c r="E49" s="107"/>
      <c r="F49" s="107"/>
      <c r="G49" s="107"/>
    </row>
    <row r="50" spans="1:7" ht="15.75">
      <c r="A50" s="73">
        <v>6500</v>
      </c>
      <c r="B50" s="71" t="s">
        <v>115</v>
      </c>
      <c r="C50" s="72">
        <f>SUM(C51:C52)</f>
        <v>14873595</v>
      </c>
      <c r="D50" s="72">
        <f>SUM(D51:D52)</f>
        <v>14873595</v>
      </c>
      <c r="E50" s="107"/>
      <c r="F50" s="107"/>
      <c r="G50" s="107"/>
    </row>
    <row r="51" spans="1:7" ht="15.75">
      <c r="A51" s="63">
        <v>6501</v>
      </c>
      <c r="B51" s="51" t="s">
        <v>117</v>
      </c>
      <c r="C51" s="48">
        <v>14873595</v>
      </c>
      <c r="D51" s="48">
        <f t="shared" si="0"/>
        <v>14873595</v>
      </c>
      <c r="E51" s="107"/>
      <c r="F51" s="107"/>
      <c r="G51" s="107"/>
    </row>
    <row r="52" spans="1:7" ht="15.75">
      <c r="A52" s="62">
        <v>6504</v>
      </c>
      <c r="B52" s="51" t="s">
        <v>116</v>
      </c>
      <c r="C52" s="48">
        <v>0</v>
      </c>
      <c r="D52" s="48">
        <f t="shared" si="0"/>
        <v>0</v>
      </c>
      <c r="E52" s="107"/>
      <c r="F52" s="107"/>
      <c r="G52" s="107"/>
    </row>
    <row r="53" spans="1:7" ht="15.75">
      <c r="A53" s="75">
        <v>6550</v>
      </c>
      <c r="B53" s="64" t="s">
        <v>118</v>
      </c>
      <c r="C53" s="72">
        <f>SUM(C54:C55)</f>
        <v>1588400</v>
      </c>
      <c r="D53" s="72">
        <f>SUM(D54:D55)</f>
        <v>1588400</v>
      </c>
      <c r="E53" s="107"/>
      <c r="F53" s="107"/>
      <c r="G53" s="107"/>
    </row>
    <row r="54" spans="1:7" ht="15.75">
      <c r="A54" s="62">
        <v>6551</v>
      </c>
      <c r="B54" s="51" t="s">
        <v>119</v>
      </c>
      <c r="C54" s="48">
        <v>0</v>
      </c>
      <c r="D54" s="48">
        <f t="shared" si="0"/>
        <v>0</v>
      </c>
      <c r="E54" s="107"/>
      <c r="F54" s="107"/>
      <c r="G54" s="107"/>
    </row>
    <row r="55" spans="1:7" ht="15.75">
      <c r="A55" s="62">
        <v>6599</v>
      </c>
      <c r="B55" s="51" t="s">
        <v>120</v>
      </c>
      <c r="C55" s="48">
        <v>1588400</v>
      </c>
      <c r="D55" s="48">
        <f t="shared" si="0"/>
        <v>1588400</v>
      </c>
      <c r="E55" s="107"/>
      <c r="F55" s="107"/>
      <c r="G55" s="107"/>
    </row>
    <row r="56" spans="1:7" ht="15.75">
      <c r="A56" s="73">
        <v>6600</v>
      </c>
      <c r="B56" s="64" t="s">
        <v>121</v>
      </c>
      <c r="C56" s="72">
        <f>SUM(C57:C59)</f>
        <v>3873950</v>
      </c>
      <c r="D56" s="72">
        <f>SUM(D57:D59)</f>
        <v>3873950</v>
      </c>
      <c r="E56" s="107"/>
      <c r="F56" s="107"/>
      <c r="G56" s="107"/>
    </row>
    <row r="57" spans="1:7" ht="15.75">
      <c r="A57" s="63">
        <v>6601</v>
      </c>
      <c r="B57" s="51" t="s">
        <v>122</v>
      </c>
      <c r="C57" s="48">
        <v>363950</v>
      </c>
      <c r="D57" s="48">
        <f t="shared" si="0"/>
        <v>363950</v>
      </c>
      <c r="E57" s="107"/>
      <c r="F57" s="107"/>
      <c r="G57" s="107"/>
    </row>
    <row r="58" spans="1:7" ht="15.75">
      <c r="A58" s="62">
        <v>6605</v>
      </c>
      <c r="B58" s="51" t="s">
        <v>123</v>
      </c>
      <c r="C58" s="48">
        <v>2310000</v>
      </c>
      <c r="D58" s="48">
        <f t="shared" si="0"/>
        <v>2310000</v>
      </c>
      <c r="E58" s="107"/>
      <c r="F58" s="107"/>
      <c r="G58" s="107"/>
    </row>
    <row r="59" spans="1:7" ht="15.75">
      <c r="A59" s="62">
        <v>6618</v>
      </c>
      <c r="B59" s="51" t="s">
        <v>124</v>
      </c>
      <c r="C59" s="48">
        <v>1200000</v>
      </c>
      <c r="D59" s="48">
        <f t="shared" si="0"/>
        <v>1200000</v>
      </c>
      <c r="E59" s="107"/>
      <c r="F59" s="107"/>
      <c r="G59" s="107"/>
    </row>
    <row r="60" spans="1:7" ht="15.75">
      <c r="A60" s="73">
        <v>6700</v>
      </c>
      <c r="B60" s="64" t="s">
        <v>125</v>
      </c>
      <c r="C60" s="72">
        <f>SUM(C61:C65)</f>
        <v>1800000</v>
      </c>
      <c r="D60" s="72">
        <f>SUM(D61:D65)</f>
        <v>1800000</v>
      </c>
      <c r="E60" s="107"/>
      <c r="F60" s="107"/>
      <c r="G60" s="107"/>
    </row>
    <row r="61" spans="1:7" ht="15.75">
      <c r="A61" s="63">
        <v>6701</v>
      </c>
      <c r="B61" s="51" t="s">
        <v>126</v>
      </c>
      <c r="C61" s="48">
        <v>0</v>
      </c>
      <c r="D61" s="48">
        <f t="shared" si="0"/>
        <v>0</v>
      </c>
      <c r="E61" s="107"/>
      <c r="F61" s="107"/>
      <c r="G61" s="107"/>
    </row>
    <row r="62" spans="1:7" ht="15.75">
      <c r="A62" s="63">
        <v>6702</v>
      </c>
      <c r="B62" s="51" t="s">
        <v>127</v>
      </c>
      <c r="C62" s="48">
        <v>0</v>
      </c>
      <c r="D62" s="48">
        <f t="shared" si="0"/>
        <v>0</v>
      </c>
      <c r="E62" s="107"/>
      <c r="F62" s="107"/>
      <c r="G62" s="107"/>
    </row>
    <row r="63" spans="1:7" ht="15.75">
      <c r="A63" s="63">
        <v>6703</v>
      </c>
      <c r="B63" s="51" t="s">
        <v>128</v>
      </c>
      <c r="C63" s="48">
        <v>0</v>
      </c>
      <c r="D63" s="48">
        <f t="shared" si="0"/>
        <v>0</v>
      </c>
      <c r="E63" s="107"/>
      <c r="F63" s="107"/>
      <c r="G63" s="107"/>
    </row>
    <row r="64" spans="1:7" ht="15.75">
      <c r="A64" s="63">
        <v>6704</v>
      </c>
      <c r="B64" s="51" t="s">
        <v>129</v>
      </c>
      <c r="C64" s="48">
        <v>1800000</v>
      </c>
      <c r="D64" s="48">
        <f t="shared" si="0"/>
        <v>1800000</v>
      </c>
      <c r="E64" s="107"/>
      <c r="F64" s="107"/>
      <c r="G64" s="107"/>
    </row>
    <row r="65" spans="1:7" ht="15.75">
      <c r="A65" s="63">
        <v>6749</v>
      </c>
      <c r="B65" s="51" t="s">
        <v>130</v>
      </c>
      <c r="C65" s="48">
        <v>0</v>
      </c>
      <c r="D65" s="48">
        <f t="shared" si="0"/>
        <v>0</v>
      </c>
      <c r="E65" s="107"/>
      <c r="F65" s="107"/>
      <c r="G65" s="107"/>
    </row>
    <row r="66" spans="1:7" ht="15.75">
      <c r="A66" s="73">
        <v>6750</v>
      </c>
      <c r="B66" s="64" t="s">
        <v>131</v>
      </c>
      <c r="C66" s="72">
        <f>SUM(C67:C70)</f>
        <v>22800000</v>
      </c>
      <c r="D66" s="72">
        <f>SUM(D67:D70)</f>
        <v>22800000</v>
      </c>
      <c r="E66" s="107"/>
      <c r="F66" s="107"/>
      <c r="G66" s="107"/>
    </row>
    <row r="67" spans="1:7" ht="15.75">
      <c r="A67" s="62">
        <v>6751</v>
      </c>
      <c r="B67" s="51" t="s">
        <v>132</v>
      </c>
      <c r="C67" s="48">
        <v>0</v>
      </c>
      <c r="D67" s="48">
        <f t="shared" si="0"/>
        <v>0</v>
      </c>
      <c r="E67" s="107"/>
      <c r="F67" s="107"/>
      <c r="G67" s="107"/>
    </row>
    <row r="68" spans="1:7" ht="15.75">
      <c r="A68" s="62">
        <v>6757</v>
      </c>
      <c r="B68" s="51" t="s">
        <v>133</v>
      </c>
      <c r="C68" s="48">
        <v>22800000</v>
      </c>
      <c r="D68" s="48">
        <f t="shared" si="0"/>
        <v>22800000</v>
      </c>
      <c r="E68" s="107"/>
      <c r="F68" s="107"/>
      <c r="G68" s="107"/>
    </row>
    <row r="69" spans="1:7" ht="15.75">
      <c r="A69" s="62">
        <v>6758</v>
      </c>
      <c r="B69" s="51" t="s">
        <v>134</v>
      </c>
      <c r="C69" s="48">
        <v>0</v>
      </c>
      <c r="D69" s="48">
        <f t="shared" si="0"/>
        <v>0</v>
      </c>
      <c r="E69" s="107"/>
      <c r="F69" s="107"/>
      <c r="G69" s="107"/>
    </row>
    <row r="70" spans="1:7" ht="15.75">
      <c r="A70" s="62">
        <v>6799</v>
      </c>
      <c r="B70" s="51" t="s">
        <v>130</v>
      </c>
      <c r="C70" s="48">
        <v>0</v>
      </c>
      <c r="D70" s="48">
        <f t="shared" si="0"/>
        <v>0</v>
      </c>
      <c r="E70" s="107"/>
      <c r="F70" s="107"/>
      <c r="G70" s="107"/>
    </row>
    <row r="71" spans="1:7" ht="15.75">
      <c r="A71" s="73">
        <v>6900</v>
      </c>
      <c r="B71" s="64" t="s">
        <v>135</v>
      </c>
      <c r="C71" s="72">
        <f>SUM(C72:C78)</f>
        <v>10000000</v>
      </c>
      <c r="D71" s="72">
        <f>SUM(D72:D78)</f>
        <v>10000000</v>
      </c>
      <c r="E71" s="107"/>
      <c r="F71" s="107"/>
      <c r="G71" s="107"/>
    </row>
    <row r="72" spans="1:7" ht="15.75">
      <c r="A72" s="63">
        <v>6906</v>
      </c>
      <c r="B72" s="51" t="s">
        <v>136</v>
      </c>
      <c r="C72" s="48">
        <v>0</v>
      </c>
      <c r="D72" s="48">
        <f t="shared" si="0"/>
        <v>0</v>
      </c>
      <c r="E72" s="107"/>
      <c r="F72" s="107"/>
      <c r="G72" s="107"/>
    </row>
    <row r="73" spans="1:7" ht="15.75">
      <c r="A73" s="62">
        <v>6908</v>
      </c>
      <c r="B73" s="51" t="s">
        <v>137</v>
      </c>
      <c r="C73" s="48">
        <v>0</v>
      </c>
      <c r="D73" s="48">
        <f t="shared" si="0"/>
        <v>0</v>
      </c>
      <c r="E73" s="107"/>
      <c r="F73" s="107"/>
      <c r="G73" s="107"/>
    </row>
    <row r="74" spans="1:7" ht="15.75">
      <c r="A74" s="63">
        <v>6912</v>
      </c>
      <c r="B74" s="51" t="s">
        <v>138</v>
      </c>
      <c r="C74" s="48">
        <v>0</v>
      </c>
      <c r="D74" s="48">
        <f t="shared" si="0"/>
        <v>0</v>
      </c>
      <c r="E74" s="107"/>
      <c r="F74" s="107"/>
      <c r="G74" s="107"/>
    </row>
    <row r="75" spans="1:7" ht="15.75">
      <c r="A75" s="62">
        <v>6913</v>
      </c>
      <c r="B75" s="51" t="s">
        <v>139</v>
      </c>
      <c r="C75" s="48">
        <v>0</v>
      </c>
      <c r="D75" s="48">
        <f t="shared" ref="D75" si="1">C75</f>
        <v>0</v>
      </c>
      <c r="E75" s="107"/>
      <c r="F75" s="107"/>
      <c r="G75" s="107"/>
    </row>
    <row r="76" spans="1:7" ht="15.75">
      <c r="A76" s="62">
        <v>6918</v>
      </c>
      <c r="B76" s="51" t="s">
        <v>289</v>
      </c>
      <c r="C76" s="48">
        <v>10000000</v>
      </c>
      <c r="D76" s="48">
        <f t="shared" si="0"/>
        <v>10000000</v>
      </c>
      <c r="E76" s="107"/>
      <c r="F76" s="107"/>
      <c r="G76" s="107"/>
    </row>
    <row r="77" spans="1:7" ht="15.75">
      <c r="A77" s="62">
        <v>6921</v>
      </c>
      <c r="B77" s="51" t="s">
        <v>140</v>
      </c>
      <c r="C77" s="48">
        <v>0</v>
      </c>
      <c r="D77" s="48">
        <f t="shared" si="0"/>
        <v>0</v>
      </c>
      <c r="E77" s="107"/>
      <c r="F77" s="107"/>
      <c r="G77" s="107"/>
    </row>
    <row r="78" spans="1:7" ht="15.75">
      <c r="A78" s="62">
        <v>6949</v>
      </c>
      <c r="B78" s="51" t="s">
        <v>141</v>
      </c>
      <c r="C78" s="48">
        <v>0</v>
      </c>
      <c r="D78" s="48">
        <f t="shared" si="0"/>
        <v>0</v>
      </c>
      <c r="E78" s="107"/>
      <c r="F78" s="107"/>
      <c r="G78" s="107"/>
    </row>
    <row r="79" spans="1:7" ht="15.75">
      <c r="A79" s="74">
        <v>6900</v>
      </c>
      <c r="B79" s="60" t="s">
        <v>110</v>
      </c>
      <c r="C79" s="61">
        <f>SUM(C80:C83)</f>
        <v>53290000</v>
      </c>
      <c r="D79" s="61">
        <f>SUM(D80:D83)</f>
        <v>53290000</v>
      </c>
      <c r="E79" s="107"/>
      <c r="F79" s="107"/>
      <c r="G79" s="107"/>
    </row>
    <row r="80" spans="1:7" ht="15.75">
      <c r="A80" s="67">
        <v>7001</v>
      </c>
      <c r="B80" s="59" t="s">
        <v>142</v>
      </c>
      <c r="C80" s="49">
        <v>0</v>
      </c>
      <c r="D80" s="48">
        <f t="shared" si="0"/>
        <v>0</v>
      </c>
      <c r="E80" s="107"/>
      <c r="F80" s="107"/>
      <c r="G80" s="107"/>
    </row>
    <row r="81" spans="1:7" ht="15.75">
      <c r="A81" s="67">
        <v>7003</v>
      </c>
      <c r="B81" s="59" t="s">
        <v>143</v>
      </c>
      <c r="C81" s="49">
        <v>0</v>
      </c>
      <c r="D81" s="48">
        <f t="shared" si="0"/>
        <v>0</v>
      </c>
      <c r="E81" s="107"/>
      <c r="F81" s="107"/>
      <c r="G81" s="107"/>
    </row>
    <row r="82" spans="1:7" ht="15.75">
      <c r="A82" s="67">
        <v>7004</v>
      </c>
      <c r="B82" s="59" t="s">
        <v>144</v>
      </c>
      <c r="C82" s="49">
        <v>0</v>
      </c>
      <c r="D82" s="48">
        <f t="shared" si="0"/>
        <v>0</v>
      </c>
      <c r="E82" s="107"/>
      <c r="F82" s="107"/>
      <c r="G82" s="107"/>
    </row>
    <row r="83" spans="1:7" ht="15.75">
      <c r="A83" s="66">
        <v>7049</v>
      </c>
      <c r="B83" s="59" t="s">
        <v>111</v>
      </c>
      <c r="C83" s="49">
        <v>53290000</v>
      </c>
      <c r="D83" s="48">
        <f t="shared" si="0"/>
        <v>53290000</v>
      </c>
      <c r="E83" s="107"/>
      <c r="F83" s="107"/>
      <c r="G83" s="107"/>
    </row>
    <row r="84" spans="1:7" ht="15.75">
      <c r="A84" s="76">
        <v>7750</v>
      </c>
      <c r="B84" s="60" t="s">
        <v>61</v>
      </c>
      <c r="C84" s="61">
        <f>SUM(C85:C89)</f>
        <v>13344340</v>
      </c>
      <c r="D84" s="61">
        <f>SUM(D85:D89)</f>
        <v>13344340</v>
      </c>
      <c r="E84" s="107"/>
      <c r="F84" s="107"/>
      <c r="G84" s="107"/>
    </row>
    <row r="85" spans="1:7" ht="15.75">
      <c r="A85" s="66">
        <v>7764</v>
      </c>
      <c r="B85" s="51" t="s">
        <v>145</v>
      </c>
      <c r="C85" s="49">
        <v>0</v>
      </c>
      <c r="D85" s="48">
        <f t="shared" si="0"/>
        <v>0</v>
      </c>
      <c r="E85" s="107"/>
      <c r="F85" s="107"/>
      <c r="G85" s="107"/>
    </row>
    <row r="86" spans="1:7" ht="15.75">
      <c r="A86" s="66">
        <v>7761</v>
      </c>
      <c r="B86" s="59" t="s">
        <v>146</v>
      </c>
      <c r="C86" s="49">
        <v>0</v>
      </c>
      <c r="D86" s="48">
        <f t="shared" si="0"/>
        <v>0</v>
      </c>
      <c r="E86" s="107"/>
      <c r="F86" s="107"/>
      <c r="G86" s="107"/>
    </row>
    <row r="87" spans="1:7" ht="15.75">
      <c r="A87" s="66">
        <v>7799</v>
      </c>
      <c r="B87" s="59" t="s">
        <v>147</v>
      </c>
      <c r="C87" s="49">
        <v>0</v>
      </c>
      <c r="D87" s="48">
        <f t="shared" si="0"/>
        <v>0</v>
      </c>
      <c r="E87" s="107"/>
      <c r="F87" s="107"/>
      <c r="G87" s="107"/>
    </row>
    <row r="88" spans="1:7" ht="15.75">
      <c r="A88" s="66">
        <v>7799</v>
      </c>
      <c r="B88" s="59" t="s">
        <v>112</v>
      </c>
      <c r="C88" s="49">
        <v>13344340</v>
      </c>
      <c r="D88" s="48">
        <f t="shared" si="0"/>
        <v>13344340</v>
      </c>
      <c r="E88" s="107"/>
      <c r="F88" s="107"/>
      <c r="G88" s="107"/>
    </row>
    <row r="89" spans="1:7" ht="15.75">
      <c r="A89" s="66">
        <v>7899</v>
      </c>
      <c r="B89" s="59" t="s">
        <v>148</v>
      </c>
      <c r="C89" s="49">
        <v>0</v>
      </c>
      <c r="D89" s="48">
        <f t="shared" si="0"/>
        <v>0</v>
      </c>
      <c r="E89" s="107"/>
      <c r="F89" s="107"/>
      <c r="G89" s="107"/>
    </row>
    <row r="90" spans="1:7" s="115" customFormat="1" ht="31.5">
      <c r="A90" s="110" t="s">
        <v>32</v>
      </c>
      <c r="B90" s="111" t="s">
        <v>43</v>
      </c>
      <c r="C90" s="112">
        <f>C91+C97+C104+C109</f>
        <v>304551600</v>
      </c>
      <c r="D90" s="112">
        <f>D91+D97+D104+D109</f>
        <v>304551600</v>
      </c>
      <c r="E90" s="114"/>
      <c r="F90" s="114"/>
      <c r="G90" s="114"/>
    </row>
    <row r="91" spans="1:7" ht="15.75">
      <c r="A91" s="37"/>
      <c r="B91" s="22" t="s">
        <v>62</v>
      </c>
      <c r="C91" s="26">
        <f>C92+C94</f>
        <v>235551600</v>
      </c>
      <c r="D91" s="26">
        <f>D92+D94</f>
        <v>235551600</v>
      </c>
      <c r="E91" s="107"/>
      <c r="F91" s="107"/>
      <c r="G91" s="107"/>
    </row>
    <row r="92" spans="1:7" ht="17.25">
      <c r="A92" s="85">
        <v>6100</v>
      </c>
      <c r="B92" s="88" t="s">
        <v>99</v>
      </c>
      <c r="C92" s="61">
        <f>C93</f>
        <v>0</v>
      </c>
      <c r="D92" s="61">
        <f>D93</f>
        <v>0</v>
      </c>
      <c r="E92" s="107"/>
      <c r="F92" s="107"/>
      <c r="G92" s="107"/>
    </row>
    <row r="93" spans="1:7" ht="17.25">
      <c r="A93" s="83">
        <v>6105</v>
      </c>
      <c r="B93" s="88" t="s">
        <v>165</v>
      </c>
      <c r="C93" s="49">
        <v>0</v>
      </c>
      <c r="D93" s="48">
        <f t="shared" si="0"/>
        <v>0</v>
      </c>
      <c r="E93" s="107"/>
      <c r="F93" s="107"/>
      <c r="G93" s="107"/>
    </row>
    <row r="94" spans="1:7" ht="17.25">
      <c r="A94" s="85">
        <v>6400</v>
      </c>
      <c r="B94" s="88" t="s">
        <v>101</v>
      </c>
      <c r="C94" s="61">
        <f>SUM(C95:C96)</f>
        <v>235551600</v>
      </c>
      <c r="D94" s="61">
        <f>SUM(D95:D96)</f>
        <v>235551600</v>
      </c>
      <c r="E94" s="107"/>
      <c r="F94" s="107"/>
      <c r="G94" s="107"/>
    </row>
    <row r="95" spans="1:7" ht="17.25">
      <c r="A95" s="84">
        <v>6406</v>
      </c>
      <c r="B95" s="88" t="s">
        <v>178</v>
      </c>
      <c r="C95" s="49">
        <v>0</v>
      </c>
      <c r="D95" s="48">
        <f t="shared" si="0"/>
        <v>0</v>
      </c>
      <c r="E95" s="107"/>
      <c r="F95" s="107"/>
      <c r="G95" s="107"/>
    </row>
    <row r="96" spans="1:7" ht="17.25">
      <c r="A96" s="84">
        <v>6449</v>
      </c>
      <c r="B96" s="88" t="s">
        <v>177</v>
      </c>
      <c r="C96" s="49">
        <v>235551600</v>
      </c>
      <c r="D96" s="48">
        <f t="shared" ref="D96:D110" si="2">C96</f>
        <v>235551600</v>
      </c>
      <c r="E96" s="107"/>
      <c r="F96" s="107"/>
      <c r="G96" s="107"/>
    </row>
    <row r="97" spans="1:13" ht="18">
      <c r="A97" s="86"/>
      <c r="B97" s="89" t="s">
        <v>323</v>
      </c>
      <c r="C97" s="26">
        <f>C98+C100+C102</f>
        <v>0</v>
      </c>
      <c r="D97" s="26">
        <f>D98+D100+D102</f>
        <v>0</v>
      </c>
      <c r="E97" s="107"/>
      <c r="F97" s="107"/>
      <c r="G97" s="107"/>
    </row>
    <row r="98" spans="1:13" ht="17.25">
      <c r="A98" s="85">
        <v>6550</v>
      </c>
      <c r="B98" s="88" t="s">
        <v>156</v>
      </c>
      <c r="C98" s="61">
        <f>C99</f>
        <v>0</v>
      </c>
      <c r="D98" s="48">
        <f t="shared" si="2"/>
        <v>0</v>
      </c>
      <c r="E98" s="107"/>
      <c r="F98" s="107"/>
      <c r="G98" s="107"/>
    </row>
    <row r="99" spans="1:13" ht="17.25">
      <c r="A99" s="84">
        <v>6552</v>
      </c>
      <c r="B99" s="88" t="s">
        <v>157</v>
      </c>
      <c r="C99" s="49">
        <v>0</v>
      </c>
      <c r="D99" s="48">
        <f t="shared" si="2"/>
        <v>0</v>
      </c>
      <c r="E99" s="107"/>
      <c r="F99" s="107"/>
      <c r="G99" s="107"/>
    </row>
    <row r="100" spans="1:13" ht="17.25">
      <c r="A100" s="85">
        <v>6750</v>
      </c>
      <c r="B100" s="88" t="s">
        <v>158</v>
      </c>
      <c r="C100" s="61">
        <f>C101</f>
        <v>0</v>
      </c>
      <c r="D100" s="61">
        <f>D101</f>
        <v>0</v>
      </c>
      <c r="E100" s="107"/>
      <c r="F100" s="107"/>
      <c r="G100" s="107"/>
    </row>
    <row r="101" spans="1:13" ht="17.25">
      <c r="A101" s="84">
        <v>6758</v>
      </c>
      <c r="B101" s="88" t="s">
        <v>322</v>
      </c>
      <c r="C101" s="49">
        <v>0</v>
      </c>
      <c r="D101" s="48">
        <f t="shared" si="2"/>
        <v>0</v>
      </c>
      <c r="E101" s="107"/>
      <c r="F101" s="107"/>
      <c r="G101" s="107"/>
    </row>
    <row r="102" spans="1:13" ht="17.25">
      <c r="A102" s="85">
        <v>7000</v>
      </c>
      <c r="B102" s="88" t="s">
        <v>150</v>
      </c>
      <c r="C102" s="61">
        <f>C103</f>
        <v>0</v>
      </c>
      <c r="D102" s="61">
        <f>D103</f>
        <v>0</v>
      </c>
      <c r="E102" s="107"/>
      <c r="F102" s="107"/>
      <c r="G102" s="107"/>
    </row>
    <row r="103" spans="1:13" ht="17.25">
      <c r="A103" s="84">
        <v>7004</v>
      </c>
      <c r="B103" s="88" t="s">
        <v>160</v>
      </c>
      <c r="C103" s="49">
        <v>0</v>
      </c>
      <c r="D103" s="48">
        <f t="shared" si="2"/>
        <v>0</v>
      </c>
      <c r="E103" s="107"/>
      <c r="F103" s="107"/>
      <c r="G103" s="107"/>
    </row>
    <row r="104" spans="1:13" ht="18">
      <c r="A104" s="87"/>
      <c r="B104" s="89" t="s">
        <v>61</v>
      </c>
      <c r="C104" s="26">
        <f>SUM(C105:C108)</f>
        <v>69000000</v>
      </c>
      <c r="D104" s="26">
        <f>SUM(D105:D108)</f>
        <v>69000000</v>
      </c>
      <c r="E104" s="107"/>
      <c r="F104" s="107"/>
      <c r="G104" s="107"/>
    </row>
    <row r="105" spans="1:13" ht="17.25">
      <c r="A105" s="84">
        <v>7757</v>
      </c>
      <c r="B105" s="88" t="s">
        <v>161</v>
      </c>
      <c r="C105" s="49">
        <v>0</v>
      </c>
      <c r="D105" s="48">
        <f t="shared" si="2"/>
        <v>0</v>
      </c>
      <c r="E105" s="107"/>
      <c r="F105" s="107"/>
      <c r="G105" s="107"/>
    </row>
    <row r="106" spans="1:13" ht="17.25">
      <c r="A106" s="84">
        <v>7799</v>
      </c>
      <c r="B106" s="88" t="s">
        <v>320</v>
      </c>
      <c r="C106" s="49">
        <v>69000000</v>
      </c>
      <c r="D106" s="48">
        <f t="shared" si="2"/>
        <v>69000000</v>
      </c>
      <c r="E106" s="107"/>
      <c r="F106" s="107"/>
      <c r="G106" s="107"/>
    </row>
    <row r="107" spans="1:13" ht="17.25">
      <c r="A107" s="84">
        <v>7799</v>
      </c>
      <c r="B107" s="88" t="s">
        <v>163</v>
      </c>
      <c r="C107" s="49">
        <v>0</v>
      </c>
      <c r="D107" s="48">
        <f t="shared" si="2"/>
        <v>0</v>
      </c>
      <c r="E107" s="107"/>
      <c r="F107" s="107"/>
      <c r="G107" s="107"/>
    </row>
    <row r="108" spans="1:13" ht="17.25">
      <c r="A108" s="83">
        <v>7766</v>
      </c>
      <c r="B108" s="88" t="s">
        <v>179</v>
      </c>
      <c r="C108" s="49">
        <v>0</v>
      </c>
      <c r="D108" s="48">
        <f t="shared" si="2"/>
        <v>0</v>
      </c>
      <c r="E108" s="107"/>
      <c r="F108" s="107"/>
      <c r="G108" s="107"/>
    </row>
    <row r="109" spans="1:13" ht="15.75">
      <c r="A109" s="21"/>
      <c r="B109" s="89" t="s">
        <v>319</v>
      </c>
      <c r="C109" s="26">
        <f>C110</f>
        <v>0</v>
      </c>
      <c r="D109" s="26">
        <f>D110</f>
        <v>0</v>
      </c>
      <c r="E109" s="107"/>
      <c r="F109" s="107"/>
      <c r="G109" s="107"/>
    </row>
    <row r="110" spans="1:13" ht="17.25">
      <c r="A110" s="84">
        <v>9099</v>
      </c>
      <c r="B110" s="88" t="s">
        <v>321</v>
      </c>
      <c r="C110" s="49">
        <v>0</v>
      </c>
      <c r="D110" s="48">
        <f t="shared" si="2"/>
        <v>0</v>
      </c>
      <c r="E110" s="107"/>
      <c r="F110" s="107"/>
      <c r="G110" s="107"/>
    </row>
    <row r="111" spans="1:13" ht="32.25" customHeight="1">
      <c r="A111" s="21" t="s">
        <v>67</v>
      </c>
      <c r="B111" s="218" t="s">
        <v>173</v>
      </c>
    </row>
    <row r="112" spans="1:13" ht="21.75" customHeight="1">
      <c r="A112" s="37" t="s">
        <v>290</v>
      </c>
      <c r="B112" s="33" t="s">
        <v>11</v>
      </c>
      <c r="C112" s="219" t="s">
        <v>291</v>
      </c>
      <c r="D112" s="219" t="s">
        <v>292</v>
      </c>
      <c r="E112" s="220" t="s">
        <v>293</v>
      </c>
      <c r="F112" s="220" t="s">
        <v>294</v>
      </c>
      <c r="G112" s="220" t="s">
        <v>295</v>
      </c>
      <c r="H112" s="221" t="s">
        <v>290</v>
      </c>
      <c r="I112" s="222" t="s">
        <v>296</v>
      </c>
      <c r="J112" s="221" t="s">
        <v>297</v>
      </c>
      <c r="K112" s="221" t="s">
        <v>298</v>
      </c>
      <c r="L112" s="221" t="s">
        <v>299</v>
      </c>
      <c r="M112" s="221" t="s">
        <v>300</v>
      </c>
    </row>
    <row r="113" spans="1:16">
      <c r="A113" s="223" t="s">
        <v>1</v>
      </c>
      <c r="B113" s="224" t="s">
        <v>301</v>
      </c>
      <c r="C113" s="225">
        <f>SUM(C114:C117)</f>
        <v>41067200</v>
      </c>
      <c r="D113" s="225">
        <f>SUM(D114:D117)</f>
        <v>807770000</v>
      </c>
      <c r="E113" s="225">
        <f>SUM(E114:E117)</f>
        <v>820054000</v>
      </c>
      <c r="F113" s="225">
        <f>SUM(F114:F117)</f>
        <v>29355200</v>
      </c>
      <c r="G113" s="107"/>
      <c r="H113" s="223" t="s">
        <v>1</v>
      </c>
      <c r="I113" s="224" t="s">
        <v>301</v>
      </c>
      <c r="J113" s="225">
        <f>SUM(J114:J117)</f>
        <v>50621200</v>
      </c>
      <c r="K113" s="225">
        <f>SUM(K114:K117)</f>
        <v>145773000</v>
      </c>
      <c r="L113" s="225">
        <f>SUM(L114:L117)</f>
        <v>163534000</v>
      </c>
      <c r="M113" s="225">
        <f>SUM(M114:M117)</f>
        <v>3184200</v>
      </c>
    </row>
    <row r="114" spans="1:16">
      <c r="A114" s="226">
        <v>1</v>
      </c>
      <c r="B114" s="227" t="s">
        <v>302</v>
      </c>
      <c r="C114" s="228">
        <v>0</v>
      </c>
      <c r="D114" s="228">
        <f>232848000+21168000+K114+K129</f>
        <v>592340000</v>
      </c>
      <c r="E114" s="229">
        <f>232848000+L114+L129</f>
        <v>592340000</v>
      </c>
      <c r="F114" s="229">
        <f>C114+D114-E114</f>
        <v>0</v>
      </c>
      <c r="G114" s="107"/>
      <c r="H114" s="226">
        <v>1</v>
      </c>
      <c r="I114" s="227" t="s">
        <v>302</v>
      </c>
      <c r="J114" s="228">
        <v>21168000</v>
      </c>
      <c r="K114" s="228">
        <v>105840000</v>
      </c>
      <c r="L114" s="229">
        <v>126784000</v>
      </c>
      <c r="M114" s="229">
        <f>J114+K114-L114</f>
        <v>224000</v>
      </c>
    </row>
    <row r="115" spans="1:16" ht="15.75">
      <c r="A115" s="230">
        <v>2</v>
      </c>
      <c r="B115" s="231" t="s">
        <v>303</v>
      </c>
      <c r="C115" s="228">
        <v>144000</v>
      </c>
      <c r="D115" s="228">
        <f>2286000+K115+K130</f>
        <v>6858000</v>
      </c>
      <c r="E115" s="232">
        <f>2300000+K115+K130</f>
        <v>6872000</v>
      </c>
      <c r="F115" s="242">
        <f>C115+D115-E115+572000</f>
        <v>702000</v>
      </c>
      <c r="G115" s="107"/>
      <c r="H115" s="230">
        <v>2</v>
      </c>
      <c r="I115" s="231" t="s">
        <v>303</v>
      </c>
      <c r="J115" s="228">
        <v>130000</v>
      </c>
      <c r="K115" s="228">
        <v>2286000</v>
      </c>
      <c r="L115" s="232">
        <v>2000000</v>
      </c>
      <c r="M115" s="232">
        <f>J115+K115-L115</f>
        <v>416000</v>
      </c>
      <c r="P115" s="109">
        <f>702000-F115</f>
        <v>0</v>
      </c>
    </row>
    <row r="116" spans="1:16" ht="15.75">
      <c r="A116" s="233">
        <v>3</v>
      </c>
      <c r="B116" s="234" t="s">
        <v>304</v>
      </c>
      <c r="C116" s="235">
        <v>2624200</v>
      </c>
      <c r="D116" s="235">
        <f>10584000+K116+K131</f>
        <v>25326000</v>
      </c>
      <c r="E116" s="236">
        <f>9900000+550000+K116+K131+456200+2000-200</f>
        <v>25650000</v>
      </c>
      <c r="F116" s="251">
        <f>C116+D116-E116</f>
        <v>2300200</v>
      </c>
      <c r="G116" s="107"/>
      <c r="H116" s="233">
        <v>3</v>
      </c>
      <c r="I116" s="234" t="s">
        <v>304</v>
      </c>
      <c r="J116" s="235">
        <v>2758200</v>
      </c>
      <c r="K116" s="235">
        <v>4536000</v>
      </c>
      <c r="L116" s="236">
        <v>4750000</v>
      </c>
      <c r="M116" s="237">
        <f>J116+K116-L116</f>
        <v>2544200</v>
      </c>
      <c r="P116">
        <v>2302000</v>
      </c>
    </row>
    <row r="117" spans="1:16" ht="15.75">
      <c r="A117" s="238">
        <v>4</v>
      </c>
      <c r="B117" s="239" t="s">
        <v>305</v>
      </c>
      <c r="C117" s="240">
        <v>38299000</v>
      </c>
      <c r="D117" s="240">
        <f>82626000+K117+K132</f>
        <v>183246000</v>
      </c>
      <c r="E117" s="241">
        <f>66100000+8260000+L117+L132+31682000</f>
        <v>195192000</v>
      </c>
      <c r="F117" s="251">
        <f>C117+D117-E117</f>
        <v>26353000</v>
      </c>
      <c r="G117" s="107"/>
      <c r="H117" s="238">
        <v>4</v>
      </c>
      <c r="I117" s="239" t="s">
        <v>305</v>
      </c>
      <c r="J117" s="240">
        <v>26565000</v>
      </c>
      <c r="K117" s="240">
        <v>33111000</v>
      </c>
      <c r="L117" s="241">
        <v>30000000</v>
      </c>
      <c r="M117" s="242"/>
      <c r="P117" s="109">
        <f>F116-P116</f>
        <v>-1800</v>
      </c>
    </row>
    <row r="118" spans="1:16" ht="15.75">
      <c r="A118" s="238"/>
      <c r="B118" s="108" t="s">
        <v>306</v>
      </c>
      <c r="C118" s="240"/>
      <c r="D118" s="240"/>
      <c r="E118" s="241"/>
      <c r="G118" s="107"/>
      <c r="H118" s="238"/>
      <c r="I118" s="108" t="s">
        <v>315</v>
      </c>
      <c r="J118" s="240"/>
      <c r="K118" s="240"/>
      <c r="L118" s="241">
        <v>11500000</v>
      </c>
      <c r="M118" s="242">
        <f>J117+K117-L117-L118</f>
        <v>18176000</v>
      </c>
    </row>
    <row r="119" spans="1:16" ht="15.75">
      <c r="A119" s="243" t="s">
        <v>5</v>
      </c>
      <c r="B119" s="244" t="s">
        <v>307</v>
      </c>
      <c r="C119" s="245">
        <f>SUM(C120:C125)</f>
        <v>169939900</v>
      </c>
      <c r="D119" s="245">
        <f>SUM(D120:D125)</f>
        <v>165500000</v>
      </c>
      <c r="E119" s="245">
        <f>SUM(E120:E125)</f>
        <v>263849500</v>
      </c>
      <c r="F119" s="245">
        <f>SUM(F120:F125)</f>
        <v>71590400</v>
      </c>
      <c r="G119" s="107"/>
      <c r="H119" s="243" t="s">
        <v>5</v>
      </c>
      <c r="I119" s="244" t="s">
        <v>307</v>
      </c>
      <c r="J119" s="245">
        <f>SUM(J120:J125)</f>
        <v>91140400</v>
      </c>
      <c r="K119" s="245">
        <f>SUM(K120:K125)</f>
        <v>29100000</v>
      </c>
      <c r="L119" s="245">
        <f>SUM(L120:L125)</f>
        <v>9560000</v>
      </c>
      <c r="M119" s="245">
        <f>SUM(M120:M125)</f>
        <v>110680400</v>
      </c>
      <c r="P119" s="109">
        <f>F117-26353000</f>
        <v>0</v>
      </c>
    </row>
    <row r="120" spans="1:16">
      <c r="A120" s="226">
        <v>1</v>
      </c>
      <c r="B120" s="246" t="s">
        <v>308</v>
      </c>
      <c r="C120" s="228">
        <f>[1]PHHS!$C$45</f>
        <v>108402000</v>
      </c>
      <c r="D120" s="228">
        <v>0</v>
      </c>
      <c r="E120" s="228">
        <f>59580000+L120+L135</f>
        <v>66200000</v>
      </c>
      <c r="F120" s="229">
        <f t="shared" ref="F120:F124" si="3">C120+D120-E120</f>
        <v>42202000</v>
      </c>
      <c r="G120" s="107"/>
      <c r="H120" s="226">
        <v>1</v>
      </c>
      <c r="I120" s="246" t="s">
        <v>308</v>
      </c>
      <c r="J120" s="228">
        <v>48822000</v>
      </c>
      <c r="K120" s="228">
        <v>0</v>
      </c>
      <c r="L120" s="228">
        <v>3500000</v>
      </c>
      <c r="M120" s="229">
        <f t="shared" ref="M120:M125" si="4">J120+K120-L120</f>
        <v>45322000</v>
      </c>
    </row>
    <row r="121" spans="1:16">
      <c r="A121" s="226">
        <v>2</v>
      </c>
      <c r="B121" s="246" t="s">
        <v>309</v>
      </c>
      <c r="C121" s="228">
        <v>28435600</v>
      </c>
      <c r="D121" s="228">
        <f>58200000+K136+K121</f>
        <v>145500000</v>
      </c>
      <c r="E121" s="228">
        <f>60750000+L136</f>
        <v>172750000</v>
      </c>
      <c r="F121" s="229">
        <f t="shared" si="3"/>
        <v>1185600</v>
      </c>
      <c r="G121" s="107"/>
      <c r="H121" s="226">
        <v>2</v>
      </c>
      <c r="I121" s="246" t="s">
        <v>309</v>
      </c>
      <c r="J121" s="228">
        <v>25885600</v>
      </c>
      <c r="K121" s="228">
        <v>29100000</v>
      </c>
      <c r="L121" s="228">
        <v>0</v>
      </c>
      <c r="M121" s="229">
        <f t="shared" si="4"/>
        <v>54985600</v>
      </c>
    </row>
    <row r="122" spans="1:16">
      <c r="A122" s="226">
        <v>3</v>
      </c>
      <c r="B122" s="246" t="s">
        <v>310</v>
      </c>
      <c r="C122" s="247">
        <f>'[1]Nhân Đạo'!$C$31</f>
        <v>4027000</v>
      </c>
      <c r="D122" s="247">
        <v>0</v>
      </c>
      <c r="E122" s="247">
        <f>1400000+L137</f>
        <v>1600000</v>
      </c>
      <c r="F122" s="229">
        <f t="shared" si="3"/>
        <v>2427000</v>
      </c>
      <c r="G122" s="107"/>
      <c r="H122" s="226">
        <v>3</v>
      </c>
      <c r="I122" s="246" t="s">
        <v>310</v>
      </c>
      <c r="J122" s="247">
        <v>2627000</v>
      </c>
      <c r="K122" s="247">
        <v>0</v>
      </c>
      <c r="L122" s="247">
        <v>0</v>
      </c>
      <c r="M122" s="229">
        <f t="shared" si="4"/>
        <v>2627000</v>
      </c>
    </row>
    <row r="123" spans="1:16">
      <c r="A123" s="226">
        <v>4</v>
      </c>
      <c r="B123" s="248" t="s">
        <v>311</v>
      </c>
      <c r="C123" s="249">
        <v>839500</v>
      </c>
      <c r="D123" s="249">
        <v>0</v>
      </c>
      <c r="E123" s="229">
        <v>400000</v>
      </c>
      <c r="F123" s="229">
        <f t="shared" si="3"/>
        <v>439500</v>
      </c>
      <c r="G123" s="107"/>
      <c r="H123" s="226">
        <v>4</v>
      </c>
      <c r="I123" s="248" t="s">
        <v>311</v>
      </c>
      <c r="J123" s="249">
        <v>439500</v>
      </c>
      <c r="K123" s="249">
        <v>0</v>
      </c>
      <c r="L123" s="229">
        <v>0</v>
      </c>
      <c r="M123" s="229">
        <f t="shared" si="4"/>
        <v>439500</v>
      </c>
    </row>
    <row r="124" spans="1:16">
      <c r="A124" s="226">
        <v>5</v>
      </c>
      <c r="B124" s="248" t="s">
        <v>312</v>
      </c>
      <c r="C124" s="249">
        <f>[1]CTĐ!$F$45</f>
        <v>1122800</v>
      </c>
      <c r="D124" s="249">
        <v>0</v>
      </c>
      <c r="E124" s="229">
        <f>207000+140000</f>
        <v>347000</v>
      </c>
      <c r="F124" s="229">
        <f t="shared" si="3"/>
        <v>775800</v>
      </c>
      <c r="G124" s="107"/>
      <c r="H124" s="226">
        <v>5</v>
      </c>
      <c r="I124" s="248" t="s">
        <v>312</v>
      </c>
      <c r="J124" s="249">
        <v>915800</v>
      </c>
      <c r="K124" s="249">
        <v>0</v>
      </c>
      <c r="L124" s="229">
        <v>0</v>
      </c>
      <c r="M124" s="229">
        <f t="shared" si="4"/>
        <v>915800</v>
      </c>
    </row>
    <row r="125" spans="1:16" ht="30">
      <c r="A125" s="226">
        <v>6</v>
      </c>
      <c r="B125" s="248" t="s">
        <v>313</v>
      </c>
      <c r="C125" s="249">
        <f>'[1]Phúc Lợi'!$F$77</f>
        <v>27113000</v>
      </c>
      <c r="D125" s="249">
        <v>20000000</v>
      </c>
      <c r="E125" s="229">
        <f>14662500+L125+L140</f>
        <v>22552500</v>
      </c>
      <c r="F125" s="229">
        <f>C125+D125-E125</f>
        <v>24560500</v>
      </c>
      <c r="G125" s="107"/>
      <c r="H125" s="226">
        <v>6</v>
      </c>
      <c r="I125" s="248" t="s">
        <v>313</v>
      </c>
      <c r="J125" s="249">
        <v>12450500</v>
      </c>
      <c r="K125" s="249">
        <v>0</v>
      </c>
      <c r="L125" s="229">
        <v>6060000</v>
      </c>
      <c r="M125" s="229">
        <f t="shared" si="4"/>
        <v>6390500</v>
      </c>
    </row>
    <row r="126" spans="1:16">
      <c r="A126" s="286" t="s">
        <v>314</v>
      </c>
      <c r="B126" s="286"/>
      <c r="C126" s="250">
        <f>C113+C119</f>
        <v>211007100</v>
      </c>
      <c r="D126" s="250">
        <f>D113+D119</f>
        <v>973270000</v>
      </c>
      <c r="E126" s="250">
        <f>E113+E119</f>
        <v>1083903500</v>
      </c>
      <c r="F126" s="250">
        <f>F113+F119</f>
        <v>100945600</v>
      </c>
      <c r="G126" s="107"/>
      <c r="H126" s="286" t="s">
        <v>314</v>
      </c>
      <c r="I126" s="286"/>
      <c r="J126" s="250">
        <f>J113+J119</f>
        <v>141761600</v>
      </c>
      <c r="K126" s="250">
        <f>K113+K119</f>
        <v>174873000</v>
      </c>
      <c r="L126" s="250">
        <f>L113+L119</f>
        <v>173094000</v>
      </c>
      <c r="M126" s="250">
        <f>M113+M119</f>
        <v>113864600</v>
      </c>
    </row>
    <row r="127" spans="1:16" ht="16.5">
      <c r="H127" s="221" t="s">
        <v>290</v>
      </c>
      <c r="I127" s="222" t="s">
        <v>296</v>
      </c>
      <c r="J127" s="221" t="s">
        <v>297</v>
      </c>
      <c r="K127" s="221" t="s">
        <v>298</v>
      </c>
      <c r="L127" s="221" t="s">
        <v>299</v>
      </c>
      <c r="M127" s="221" t="s">
        <v>300</v>
      </c>
    </row>
    <row r="128" spans="1:16" ht="15.75">
      <c r="B128" s="19"/>
      <c r="C128" s="19"/>
      <c r="D128" s="19"/>
      <c r="E128" s="287" t="s">
        <v>174</v>
      </c>
      <c r="F128" s="287"/>
      <c r="G128" s="287"/>
      <c r="H128" s="223" t="s">
        <v>1</v>
      </c>
      <c r="I128" s="224" t="s">
        <v>301</v>
      </c>
      <c r="J128" s="225">
        <f>SUM(J129:J132)</f>
        <v>21360200</v>
      </c>
      <c r="K128" s="225">
        <f>SUM(K129:K132)</f>
        <v>312485000</v>
      </c>
      <c r="L128" s="225">
        <f>SUM(L129:L132)</f>
        <v>304308000</v>
      </c>
      <c r="M128" s="225">
        <f>SUM(M129:M132)</f>
        <v>29537200</v>
      </c>
    </row>
    <row r="129" spans="2:13" ht="15.75">
      <c r="B129" s="25" t="s">
        <v>170</v>
      </c>
      <c r="C129" s="19"/>
      <c r="D129" s="19"/>
      <c r="E129" s="266" t="s">
        <v>49</v>
      </c>
      <c r="F129" s="266"/>
      <c r="G129" s="266"/>
      <c r="H129" s="226">
        <v>1</v>
      </c>
      <c r="I129" s="227" t="s">
        <v>302</v>
      </c>
      <c r="J129" s="228">
        <v>224000</v>
      </c>
      <c r="K129" s="228">
        <v>232484000</v>
      </c>
      <c r="L129" s="229">
        <f>J129+K129</f>
        <v>232708000</v>
      </c>
      <c r="M129" s="229">
        <f>J129+K129-L129</f>
        <v>0</v>
      </c>
    </row>
    <row r="130" spans="2:13" ht="15.75">
      <c r="B130" s="19"/>
      <c r="C130" s="19"/>
      <c r="D130" s="19"/>
      <c r="E130" s="19"/>
      <c r="F130" s="19"/>
      <c r="G130" s="19"/>
      <c r="H130" s="230">
        <v>2</v>
      </c>
      <c r="I130" s="231" t="s">
        <v>303</v>
      </c>
      <c r="J130" s="228">
        <v>416000</v>
      </c>
      <c r="K130" s="228">
        <v>2286000</v>
      </c>
      <c r="L130" s="232">
        <v>2000000</v>
      </c>
      <c r="M130" s="232">
        <f>J130+K130-L130</f>
        <v>702000</v>
      </c>
    </row>
    <row r="131" spans="2:13" ht="18.75">
      <c r="B131" s="31"/>
      <c r="C131" s="31"/>
      <c r="D131" s="31"/>
      <c r="E131" s="31"/>
      <c r="F131" s="31"/>
      <c r="G131" s="31"/>
      <c r="H131" s="233">
        <v>3</v>
      </c>
      <c r="I131" s="234" t="s">
        <v>304</v>
      </c>
      <c r="J131" s="235">
        <v>2544200</v>
      </c>
      <c r="K131" s="235">
        <v>10206000</v>
      </c>
      <c r="L131" s="236">
        <v>10450000</v>
      </c>
      <c r="M131" s="237">
        <f>J131+K131-L131</f>
        <v>2300200</v>
      </c>
    </row>
    <row r="132" spans="2:13" ht="15.75">
      <c r="H132" s="238">
        <v>4</v>
      </c>
      <c r="I132" s="239" t="s">
        <v>305</v>
      </c>
      <c r="J132" s="240">
        <v>18176000</v>
      </c>
      <c r="K132" s="240">
        <v>67509000</v>
      </c>
      <c r="L132" s="241">
        <v>59150000</v>
      </c>
      <c r="M132" s="242">
        <f>J132+K132-L132</f>
        <v>26535000</v>
      </c>
    </row>
    <row r="133" spans="2:13" ht="15.75">
      <c r="H133" s="238"/>
      <c r="I133" s="108" t="s">
        <v>316</v>
      </c>
      <c r="J133" s="240"/>
      <c r="K133" s="240"/>
      <c r="L133" s="241"/>
      <c r="M133" s="242"/>
    </row>
    <row r="134" spans="2:13" ht="15.75">
      <c r="H134" s="243" t="s">
        <v>5</v>
      </c>
      <c r="I134" s="244" t="s">
        <v>307</v>
      </c>
      <c r="J134" s="245">
        <f>SUM(J135:J140)</f>
        <v>110680400</v>
      </c>
      <c r="K134" s="245">
        <f>SUM(K135:K140)</f>
        <v>78200000</v>
      </c>
      <c r="L134" s="245">
        <f>SUM(L135:L140)</f>
        <v>117290000</v>
      </c>
      <c r="M134" s="245">
        <f>SUM(M135:M140)</f>
        <v>71590400</v>
      </c>
    </row>
    <row r="135" spans="2:13">
      <c r="H135" s="226">
        <v>1</v>
      </c>
      <c r="I135" s="246" t="s">
        <v>308</v>
      </c>
      <c r="J135" s="228">
        <v>45322000</v>
      </c>
      <c r="K135" s="228"/>
      <c r="L135" s="228">
        <v>3120000</v>
      </c>
      <c r="M135" s="229">
        <f t="shared" ref="M135:M140" si="5">J135+K135-L135</f>
        <v>42202000</v>
      </c>
    </row>
    <row r="136" spans="2:13">
      <c r="H136" s="226">
        <v>2</v>
      </c>
      <c r="I136" s="246" t="s">
        <v>317</v>
      </c>
      <c r="J136" s="228">
        <v>54985600</v>
      </c>
      <c r="K136" s="228">
        <v>58200000</v>
      </c>
      <c r="L136" s="228">
        <v>112000000</v>
      </c>
      <c r="M136" s="229">
        <f t="shared" si="5"/>
        <v>1185600</v>
      </c>
    </row>
    <row r="137" spans="2:13">
      <c r="H137" s="226">
        <v>3</v>
      </c>
      <c r="I137" s="246" t="s">
        <v>310</v>
      </c>
      <c r="J137" s="247">
        <v>2627000</v>
      </c>
      <c r="K137" s="247"/>
      <c r="L137" s="247">
        <v>200000</v>
      </c>
      <c r="M137" s="229">
        <f t="shared" si="5"/>
        <v>2427000</v>
      </c>
    </row>
    <row r="138" spans="2:13">
      <c r="H138" s="226">
        <v>4</v>
      </c>
      <c r="I138" s="248" t="s">
        <v>311</v>
      </c>
      <c r="J138" s="249">
        <v>439500</v>
      </c>
      <c r="K138" s="249"/>
      <c r="L138" s="229"/>
      <c r="M138" s="229">
        <f t="shared" si="5"/>
        <v>439500</v>
      </c>
    </row>
    <row r="139" spans="2:13">
      <c r="H139" s="226">
        <v>5</v>
      </c>
      <c r="I139" s="248" t="s">
        <v>312</v>
      </c>
      <c r="J139" s="249">
        <v>915800</v>
      </c>
      <c r="K139" s="249"/>
      <c r="L139" s="229">
        <v>140000</v>
      </c>
      <c r="M139" s="229">
        <f t="shared" si="5"/>
        <v>775800</v>
      </c>
    </row>
    <row r="140" spans="2:13" ht="30">
      <c r="H140" s="226">
        <v>6</v>
      </c>
      <c r="I140" s="248" t="s">
        <v>313</v>
      </c>
      <c r="J140" s="249">
        <v>6390500</v>
      </c>
      <c r="K140" s="249">
        <v>20000000</v>
      </c>
      <c r="L140" s="229">
        <v>1830000</v>
      </c>
      <c r="M140" s="229">
        <f t="shared" si="5"/>
        <v>24560500</v>
      </c>
    </row>
    <row r="141" spans="2:13">
      <c r="H141" s="286" t="s">
        <v>314</v>
      </c>
      <c r="I141" s="286"/>
      <c r="J141" s="250">
        <f>J128+J134</f>
        <v>132040600</v>
      </c>
      <c r="K141" s="250">
        <f>K128+K134</f>
        <v>390685000</v>
      </c>
      <c r="L141" s="250">
        <f>L128+L134</f>
        <v>421598000</v>
      </c>
      <c r="M141" s="250">
        <f>M128+M134</f>
        <v>101127600</v>
      </c>
    </row>
  </sheetData>
  <mergeCells count="18">
    <mergeCell ref="A7:G7"/>
    <mergeCell ref="C8:G8"/>
    <mergeCell ref="A5:G5"/>
    <mergeCell ref="D9:D10"/>
    <mergeCell ref="C9:C10"/>
    <mergeCell ref="B9:B10"/>
    <mergeCell ref="A9:A10"/>
    <mergeCell ref="E9:G9"/>
    <mergeCell ref="A1:G1"/>
    <mergeCell ref="A2:B2"/>
    <mergeCell ref="A3:B3"/>
    <mergeCell ref="A4:G4"/>
    <mergeCell ref="A6:G6"/>
    <mergeCell ref="H126:I126"/>
    <mergeCell ref="A126:B126"/>
    <mergeCell ref="H141:I141"/>
    <mergeCell ref="E128:G128"/>
    <mergeCell ref="E129:G129"/>
  </mergeCells>
  <pageMargins left="0" right="0" top="0.35433070866141736" bottom="0.15748031496062992"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D0264D-01EB-4531-8483-8A2F83FC3EF6}">
  <ds:schemaRefs>
    <ds:schemaRef ds:uri="http://schemas.microsoft.com/sharepoint/v3/contenttype/forms"/>
  </ds:schemaRefs>
</ds:datastoreItem>
</file>

<file path=customXml/itemProps2.xml><?xml version="1.0" encoding="utf-8"?>
<ds:datastoreItem xmlns:ds="http://schemas.openxmlformats.org/officeDocument/2006/customXml" ds:itemID="{C4E03ED5-AE04-4236-BEE2-7BE1480BE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B59EE4C-9619-46D8-8FE8-306FE19C126F}">
  <ds:schemaRefs>
    <ds:schemaRef ds:uri="http://www.w3.org/XML/1998/namespace"/>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Bieu 2</vt:lpstr>
      <vt:lpstr>Bieu 3</vt:lpstr>
      <vt:lpstr>Bieu 4</vt:lpstr>
      <vt:lpstr>'Bieu 2'!Print_Titles</vt:lpstr>
      <vt:lpstr>'Bieu 3'!Print_Titles</vt:lpstr>
      <vt:lpstr>'Bieu 4'!Print_Titles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ADMIN</cp:lastModifiedBy>
  <cp:lastPrinted>2018-09-24T06:41:30Z</cp:lastPrinted>
  <dcterms:created xsi:type="dcterms:W3CDTF">2016-10-14T10:52:32Z</dcterms:created>
  <dcterms:modified xsi:type="dcterms:W3CDTF">2018-09-24T06:43:06Z</dcterms:modified>
</cp:coreProperties>
</file>